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svillamizarm\Downloads\"/>
    </mc:Choice>
  </mc:AlternateContent>
  <xr:revisionPtr revIDLastSave="0" documentId="13_ncr:1_{A2F372D5-E958-4E21-AF64-BD3C23176E87}" xr6:coauthVersionLast="47" xr6:coauthVersionMax="47" xr10:uidLastSave="{00000000-0000-0000-0000-000000000000}"/>
  <bookViews>
    <workbookView xWindow="-120" yWindow="-120" windowWidth="20730" windowHeight="11160" xr2:uid="{00000000-000D-0000-FFFF-FFFF00000000}"/>
  </bookViews>
  <sheets>
    <sheet name="PAA V39- 2024" sheetId="2" r:id="rId1"/>
    <sheet name="verificación apropiación" sheetId="3" r:id="rId2"/>
    <sheet name="Hoja3" sheetId="5" r:id="rId3"/>
  </sheets>
  <externalReferences>
    <externalReference r:id="rId4"/>
    <externalReference r:id="rId5"/>
  </externalReferences>
  <definedNames>
    <definedName name="_xlnm._FilterDatabase" localSheetId="0" hidden="1">'PAA V39- 2024'!$B$16:$AK$486</definedName>
    <definedName name="_xlnm._FilterDatabase" localSheetId="1" hidden="1">'verificación apropiación'!$C$2:$H$469</definedName>
    <definedName name="_xlnm.Print_Area" localSheetId="0">'PAA V39- 2024'!$A$1:$AK$475</definedName>
    <definedName name="_xlnm.Print_Titles" localSheetId="0">'PAA V39- 2024'!$1:$16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1" i="2" l="1"/>
  <c r="I282" i="2"/>
  <c r="U141" i="2"/>
  <c r="V141" i="2" s="1"/>
  <c r="N142" i="2"/>
  <c r="N141" i="2"/>
  <c r="U422" i="2"/>
  <c r="V422" i="2" s="1"/>
  <c r="N422" i="2"/>
  <c r="U421" i="2"/>
  <c r="V421" i="2" s="1"/>
  <c r="N421" i="2"/>
  <c r="I491" i="2"/>
  <c r="U420" i="2"/>
  <c r="V420" i="2" s="1"/>
  <c r="N420" i="2"/>
  <c r="U423" i="2"/>
  <c r="V423" i="2" s="1"/>
  <c r="N423" i="2"/>
  <c r="I34" i="2" l="1"/>
  <c r="I33" i="2"/>
  <c r="N478" i="2"/>
  <c r="N477" i="2"/>
  <c r="N476" i="2"/>
  <c r="N475" i="2"/>
  <c r="N474" i="2"/>
  <c r="U483" i="2" l="1"/>
  <c r="V483" i="2" s="1"/>
  <c r="I288" i="2" l="1"/>
  <c r="I287" i="2"/>
  <c r="I286" i="2"/>
  <c r="N482" i="2" l="1"/>
  <c r="U482" i="2" l="1"/>
  <c r="V482" i="2" s="1"/>
  <c r="I58" i="2"/>
  <c r="I56" i="2"/>
  <c r="U481" i="2" l="1"/>
  <c r="V481" i="2" s="1"/>
  <c r="N481" i="2"/>
  <c r="J13" i="5" l="1"/>
  <c r="J12" i="5"/>
  <c r="J11" i="5"/>
  <c r="J10" i="5"/>
  <c r="J9" i="5"/>
  <c r="J8" i="5"/>
  <c r="J7" i="5"/>
  <c r="D5" i="5"/>
  <c r="J5" i="5" s="1"/>
  <c r="G4" i="5"/>
  <c r="J4" i="5" s="1"/>
  <c r="G3" i="5"/>
  <c r="D3" i="5"/>
  <c r="U152" i="2"/>
  <c r="V152" i="2" s="1"/>
  <c r="N152" i="2"/>
  <c r="I119" i="2"/>
  <c r="U153" i="2"/>
  <c r="V153" i="2" s="1"/>
  <c r="U154" i="2"/>
  <c r="V154" i="2" s="1"/>
  <c r="N154" i="2"/>
  <c r="N153" i="2"/>
  <c r="U318" i="2"/>
  <c r="V318" i="2" s="1"/>
  <c r="U298" i="2"/>
  <c r="V298" i="2" s="1"/>
  <c r="N298" i="2"/>
  <c r="I284" i="2"/>
  <c r="G267" i="3"/>
  <c r="J267" i="3" s="1"/>
  <c r="G270" i="3"/>
  <c r="J270" i="3" s="1"/>
  <c r="I91" i="2"/>
  <c r="G77" i="3"/>
  <c r="J77" i="3" s="1"/>
  <c r="I36" i="2"/>
  <c r="D22" i="3"/>
  <c r="J469" i="3"/>
  <c r="J468" i="3"/>
  <c r="J467" i="3"/>
  <c r="J466" i="3"/>
  <c r="J465" i="3"/>
  <c r="J464" i="3"/>
  <c r="J463" i="3"/>
  <c r="J462" i="3"/>
  <c r="J461" i="3"/>
  <c r="J460" i="3"/>
  <c r="J459" i="3"/>
  <c r="J458" i="3"/>
  <c r="J457" i="3"/>
  <c r="J456" i="3"/>
  <c r="J455" i="3"/>
  <c r="J454" i="3"/>
  <c r="J453" i="3"/>
  <c r="J452" i="3"/>
  <c r="J451" i="3"/>
  <c r="J450" i="3"/>
  <c r="J449" i="3"/>
  <c r="G448" i="3"/>
  <c r="D448" i="3"/>
  <c r="J448" i="3" s="1"/>
  <c r="J447" i="3"/>
  <c r="J446" i="3"/>
  <c r="J445" i="3"/>
  <c r="J444" i="3"/>
  <c r="J443" i="3"/>
  <c r="J442" i="3"/>
  <c r="J441" i="3"/>
  <c r="J440" i="3"/>
  <c r="J439" i="3"/>
  <c r="J438" i="3"/>
  <c r="J437" i="3"/>
  <c r="J436" i="3"/>
  <c r="J435" i="3"/>
  <c r="J434" i="3"/>
  <c r="J433" i="3"/>
  <c r="J432" i="3"/>
  <c r="J431" i="3"/>
  <c r="J430" i="3"/>
  <c r="J429" i="3"/>
  <c r="J428" i="3"/>
  <c r="G427" i="3"/>
  <c r="D427" i="3"/>
  <c r="G426" i="3"/>
  <c r="D426" i="3"/>
  <c r="J426" i="3" s="1"/>
  <c r="J425" i="3"/>
  <c r="G424" i="3"/>
  <c r="J424" i="3" s="1"/>
  <c r="J423" i="3"/>
  <c r="J422" i="3"/>
  <c r="J421" i="3"/>
  <c r="J420" i="3"/>
  <c r="J419" i="3"/>
  <c r="G418" i="3"/>
  <c r="D418" i="3"/>
  <c r="J417" i="3"/>
  <c r="J416" i="3"/>
  <c r="J415" i="3"/>
  <c r="G414" i="3"/>
  <c r="J414" i="3" s="1"/>
  <c r="D414" i="3"/>
  <c r="G413" i="3"/>
  <c r="D413" i="3"/>
  <c r="J412" i="3"/>
  <c r="J411" i="3"/>
  <c r="J410" i="3"/>
  <c r="J409" i="3"/>
  <c r="J408" i="3"/>
  <c r="J407" i="3"/>
  <c r="J406" i="3"/>
  <c r="J405" i="3"/>
  <c r="J404" i="3"/>
  <c r="J403" i="3"/>
  <c r="J402" i="3"/>
  <c r="G401" i="3"/>
  <c r="D401" i="3"/>
  <c r="J400" i="3"/>
  <c r="G399" i="3"/>
  <c r="D399" i="3"/>
  <c r="J398" i="3"/>
  <c r="J397" i="3"/>
  <c r="J396" i="3"/>
  <c r="J395" i="3"/>
  <c r="J394" i="3"/>
  <c r="J393" i="3"/>
  <c r="J392" i="3"/>
  <c r="J391" i="3"/>
  <c r="J390" i="3"/>
  <c r="J389" i="3"/>
  <c r="J388" i="3"/>
  <c r="J387" i="3"/>
  <c r="J386" i="3"/>
  <c r="J385" i="3"/>
  <c r="J384" i="3"/>
  <c r="J383" i="3"/>
  <c r="J382" i="3"/>
  <c r="J381" i="3"/>
  <c r="G380" i="3"/>
  <c r="J380" i="3" s="1"/>
  <c r="D380" i="3"/>
  <c r="G379" i="3"/>
  <c r="D379" i="3"/>
  <c r="G378" i="3"/>
  <c r="J378" i="3" s="1"/>
  <c r="D378" i="3"/>
  <c r="G377" i="3"/>
  <c r="D377" i="3"/>
  <c r="G376" i="3"/>
  <c r="D376" i="3"/>
  <c r="G375" i="3"/>
  <c r="J375" i="3" s="1"/>
  <c r="D375" i="3"/>
  <c r="J374" i="3"/>
  <c r="G373" i="3"/>
  <c r="D373" i="3"/>
  <c r="G372" i="3"/>
  <c r="D372" i="3"/>
  <c r="J372" i="3" s="1"/>
  <c r="G371" i="3"/>
  <c r="J371" i="3" s="1"/>
  <c r="D371" i="3"/>
  <c r="J370" i="3"/>
  <c r="J369" i="3"/>
  <c r="J368" i="3"/>
  <c r="J367" i="3"/>
  <c r="J366" i="3"/>
  <c r="J365" i="3"/>
  <c r="G364" i="3"/>
  <c r="D364" i="3"/>
  <c r="G363" i="3"/>
  <c r="D363" i="3"/>
  <c r="J363" i="3" s="1"/>
  <c r="J362" i="3"/>
  <c r="G362" i="3"/>
  <c r="D362" i="3"/>
  <c r="J361" i="3"/>
  <c r="G360" i="3"/>
  <c r="D360" i="3"/>
  <c r="J359" i="3"/>
  <c r="G358" i="3"/>
  <c r="J358" i="3" s="1"/>
  <c r="D358" i="3"/>
  <c r="J357" i="3"/>
  <c r="J356" i="3"/>
  <c r="J355" i="3"/>
  <c r="J354" i="3"/>
  <c r="J353" i="3"/>
  <c r="J352" i="3"/>
  <c r="G351" i="3"/>
  <c r="D351" i="3"/>
  <c r="J350" i="3"/>
  <c r="J349" i="3"/>
  <c r="J348" i="3"/>
  <c r="J347" i="3"/>
  <c r="J346" i="3"/>
  <c r="J345" i="3"/>
  <c r="J344" i="3"/>
  <c r="J343" i="3"/>
  <c r="J342" i="3"/>
  <c r="J341" i="3"/>
  <c r="J340" i="3"/>
  <c r="G339" i="3"/>
  <c r="D339" i="3"/>
  <c r="J338" i="3"/>
  <c r="J337" i="3"/>
  <c r="J336" i="3"/>
  <c r="J335" i="3"/>
  <c r="J334" i="3"/>
  <c r="J333" i="3"/>
  <c r="J332" i="3"/>
  <c r="J331" i="3"/>
  <c r="J330" i="3"/>
  <c r="J329" i="3"/>
  <c r="J328" i="3"/>
  <c r="J327" i="3"/>
  <c r="J326" i="3"/>
  <c r="J325" i="3"/>
  <c r="J324" i="3"/>
  <c r="J323" i="3"/>
  <c r="J322" i="3"/>
  <c r="G321" i="3"/>
  <c r="D321" i="3"/>
  <c r="J320" i="3"/>
  <c r="J319" i="3"/>
  <c r="J318" i="3"/>
  <c r="J317" i="3"/>
  <c r="J316" i="3"/>
  <c r="J315" i="3"/>
  <c r="G314" i="3"/>
  <c r="J314" i="3" s="1"/>
  <c r="D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G285" i="3"/>
  <c r="J285" i="3" s="1"/>
  <c r="D285" i="3"/>
  <c r="J284" i="3"/>
  <c r="J283" i="3"/>
  <c r="G281" i="3"/>
  <c r="J280" i="3"/>
  <c r="G279" i="3"/>
  <c r="J279" i="3" s="1"/>
  <c r="D279" i="3"/>
  <c r="G278" i="3"/>
  <c r="D278" i="3"/>
  <c r="J278" i="3" s="1"/>
  <c r="G277" i="3"/>
  <c r="D277" i="3"/>
  <c r="G276" i="3"/>
  <c r="J276" i="3" s="1"/>
  <c r="D276" i="3"/>
  <c r="J275" i="3"/>
  <c r="J274" i="3"/>
  <c r="J273" i="3"/>
  <c r="G272" i="3"/>
  <c r="J272" i="3" s="1"/>
  <c r="D272" i="3"/>
  <c r="G271" i="3"/>
  <c r="J271" i="3" s="1"/>
  <c r="D271" i="3"/>
  <c r="D270" i="3"/>
  <c r="J269" i="3"/>
  <c r="J268" i="3"/>
  <c r="J266" i="3"/>
  <c r="J265" i="3"/>
  <c r="J264" i="3"/>
  <c r="J262" i="3"/>
  <c r="J261" i="3"/>
  <c r="J260" i="3"/>
  <c r="J259" i="3"/>
  <c r="J258" i="3"/>
  <c r="J257" i="3"/>
  <c r="J256" i="3"/>
  <c r="J255" i="3"/>
  <c r="J254" i="3"/>
  <c r="G253" i="3"/>
  <c r="D253" i="3"/>
  <c r="J253" i="3" s="1"/>
  <c r="G252" i="3"/>
  <c r="D252" i="3"/>
  <c r="J252" i="3" s="1"/>
  <c r="J251" i="3"/>
  <c r="G250" i="3"/>
  <c r="D250" i="3"/>
  <c r="J249" i="3"/>
  <c r="G248" i="3"/>
  <c r="D248" i="3"/>
  <c r="J248" i="3" s="1"/>
  <c r="G247" i="3"/>
  <c r="J247" i="3" s="1"/>
  <c r="D247" i="3"/>
  <c r="G246" i="3"/>
  <c r="D246" i="3"/>
  <c r="G245" i="3"/>
  <c r="D245" i="3"/>
  <c r="J245" i="3" s="1"/>
  <c r="G244" i="3"/>
  <c r="D244" i="3"/>
  <c r="J243" i="3"/>
  <c r="J242" i="3"/>
  <c r="J241" i="3"/>
  <c r="G240" i="3"/>
  <c r="D240" i="3"/>
  <c r="G239" i="3"/>
  <c r="D239" i="3"/>
  <c r="G238" i="3"/>
  <c r="D238" i="3"/>
  <c r="J238" i="3" s="1"/>
  <c r="J237" i="3"/>
  <c r="G236" i="3"/>
  <c r="D236" i="3"/>
  <c r="J235" i="3"/>
  <c r="J234" i="3"/>
  <c r="G233" i="3"/>
  <c r="D233" i="3"/>
  <c r="J233" i="3" s="1"/>
  <c r="J232" i="3"/>
  <c r="G231" i="3"/>
  <c r="D231" i="3"/>
  <c r="G230" i="3"/>
  <c r="D230" i="3"/>
  <c r="J230" i="3" s="1"/>
  <c r="G228" i="3"/>
  <c r="J227" i="3"/>
  <c r="J226" i="3"/>
  <c r="G224" i="3"/>
  <c r="G223" i="3"/>
  <c r="D223" i="3"/>
  <c r="J222" i="3"/>
  <c r="G221" i="3"/>
  <c r="J221" i="3" s="1"/>
  <c r="G220" i="3"/>
  <c r="D220" i="3"/>
  <c r="J219" i="3"/>
  <c r="J218" i="3"/>
  <c r="J217" i="3"/>
  <c r="J216" i="3"/>
  <c r="J215" i="3"/>
  <c r="J214" i="3"/>
  <c r="J213" i="3"/>
  <c r="J212" i="3"/>
  <c r="G211" i="3"/>
  <c r="D211" i="3"/>
  <c r="J210" i="3"/>
  <c r="J209" i="3"/>
  <c r="J208" i="3"/>
  <c r="G207" i="3"/>
  <c r="J207" i="3" s="1"/>
  <c r="D207" i="3"/>
  <c r="G206" i="3"/>
  <c r="J206" i="3" s="1"/>
  <c r="D206" i="3"/>
  <c r="G205" i="3"/>
  <c r="D205" i="3"/>
  <c r="G204" i="3"/>
  <c r="J204" i="3" s="1"/>
  <c r="D204" i="3"/>
  <c r="G203" i="3"/>
  <c r="J203" i="3" s="1"/>
  <c r="D203" i="3"/>
  <c r="J202" i="3"/>
  <c r="J201" i="3"/>
  <c r="J200" i="3"/>
  <c r="J199" i="3"/>
  <c r="G198" i="3"/>
  <c r="D198" i="3"/>
  <c r="J197" i="3"/>
  <c r="J196" i="3"/>
  <c r="G195" i="3"/>
  <c r="D195" i="3"/>
  <c r="J194" i="3"/>
  <c r="G193" i="3"/>
  <c r="D193" i="3"/>
  <c r="J192" i="3"/>
  <c r="J191" i="3"/>
  <c r="J190" i="3"/>
  <c r="J189" i="3"/>
  <c r="J188" i="3"/>
  <c r="J187" i="3"/>
  <c r="G186" i="3"/>
  <c r="J186" i="3" s="1"/>
  <c r="J185" i="3"/>
  <c r="J184" i="3"/>
  <c r="J183" i="3"/>
  <c r="J182" i="3"/>
  <c r="J181" i="3"/>
  <c r="J180" i="3"/>
  <c r="G179" i="3"/>
  <c r="D179" i="3"/>
  <c r="G178" i="3"/>
  <c r="D178" i="3"/>
  <c r="J177" i="3"/>
  <c r="J176" i="3"/>
  <c r="J175" i="3"/>
  <c r="G174" i="3"/>
  <c r="J174" i="3" s="1"/>
  <c r="D174" i="3"/>
  <c r="D173" i="3"/>
  <c r="J173" i="3" s="1"/>
  <c r="G172" i="3"/>
  <c r="J172" i="3" s="1"/>
  <c r="J171" i="3"/>
  <c r="J170" i="3"/>
  <c r="J169" i="3"/>
  <c r="J168" i="3"/>
  <c r="J167" i="3"/>
  <c r="J166" i="3"/>
  <c r="J165" i="3"/>
  <c r="G164" i="3"/>
  <c r="J164" i="3" s="1"/>
  <c r="J163" i="3"/>
  <c r="J162" i="3"/>
  <c r="J161" i="3"/>
  <c r="J160" i="3"/>
  <c r="J159" i="3"/>
  <c r="J158" i="3"/>
  <c r="J157" i="3"/>
  <c r="J156" i="3"/>
  <c r="J155" i="3"/>
  <c r="J154" i="3"/>
  <c r="G153" i="3"/>
  <c r="J153" i="3" s="1"/>
  <c r="D153" i="3"/>
  <c r="J152" i="3"/>
  <c r="G151" i="3"/>
  <c r="D151" i="3"/>
  <c r="G150" i="3"/>
  <c r="J150" i="3" s="1"/>
  <c r="D150" i="3"/>
  <c r="G149" i="3"/>
  <c r="J149" i="3" s="1"/>
  <c r="D149" i="3"/>
  <c r="J148" i="3"/>
  <c r="J147" i="3"/>
  <c r="J146" i="3"/>
  <c r="G145" i="3"/>
  <c r="D145" i="3"/>
  <c r="G144" i="3"/>
  <c r="D144" i="3"/>
  <c r="J143" i="3"/>
  <c r="G142" i="3"/>
  <c r="J142" i="3" s="1"/>
  <c r="D142" i="3"/>
  <c r="J141" i="3"/>
  <c r="J140" i="3"/>
  <c r="G139" i="3"/>
  <c r="J139" i="3" s="1"/>
  <c r="J138" i="3"/>
  <c r="J137" i="3"/>
  <c r="J136" i="3"/>
  <c r="J135" i="3"/>
  <c r="G134" i="3"/>
  <c r="J134" i="3" s="1"/>
  <c r="G133" i="3"/>
  <c r="D133" i="3"/>
  <c r="J132" i="3"/>
  <c r="G131" i="3"/>
  <c r="J131" i="3" s="1"/>
  <c r="D131" i="3"/>
  <c r="J130" i="3"/>
  <c r="J129" i="3"/>
  <c r="J128" i="3"/>
  <c r="G127" i="3"/>
  <c r="J127" i="3" s="1"/>
  <c r="D127" i="3"/>
  <c r="G126" i="3"/>
  <c r="J126" i="3" s="1"/>
  <c r="D126" i="3"/>
  <c r="J125" i="3"/>
  <c r="J124" i="3"/>
  <c r="J123" i="3"/>
  <c r="J122" i="3"/>
  <c r="J121" i="3"/>
  <c r="J120" i="3"/>
  <c r="J119" i="3"/>
  <c r="J118" i="3"/>
  <c r="J117" i="3"/>
  <c r="J116" i="3"/>
  <c r="G115" i="3"/>
  <c r="J115" i="3" s="1"/>
  <c r="D115" i="3"/>
  <c r="J114" i="3"/>
  <c r="G113" i="3"/>
  <c r="D113" i="3"/>
  <c r="G112" i="3"/>
  <c r="J112" i="3" s="1"/>
  <c r="D112" i="3"/>
  <c r="J111" i="3"/>
  <c r="J110" i="3"/>
  <c r="G109" i="3"/>
  <c r="D109" i="3"/>
  <c r="J109" i="3" s="1"/>
  <c r="G108" i="3"/>
  <c r="J108" i="3" s="1"/>
  <c r="D108" i="3"/>
  <c r="G107" i="3"/>
  <c r="D107" i="3"/>
  <c r="J106" i="3"/>
  <c r="G105" i="3"/>
  <c r="J105" i="3" s="1"/>
  <c r="D105" i="3"/>
  <c r="G104" i="3"/>
  <c r="J104" i="3" s="1"/>
  <c r="D104" i="3"/>
  <c r="G103" i="3"/>
  <c r="D103" i="3"/>
  <c r="J102" i="3"/>
  <c r="J101" i="3"/>
  <c r="J100" i="3"/>
  <c r="J99" i="3"/>
  <c r="J98" i="3"/>
  <c r="J97" i="3"/>
  <c r="J96" i="3"/>
  <c r="J95" i="3"/>
  <c r="J94" i="3"/>
  <c r="G93" i="3"/>
  <c r="D93" i="3"/>
  <c r="J92" i="3"/>
  <c r="J91" i="3"/>
  <c r="J90" i="3"/>
  <c r="J89" i="3"/>
  <c r="J88" i="3"/>
  <c r="G87" i="3"/>
  <c r="D87" i="3"/>
  <c r="J86" i="3"/>
  <c r="J85" i="3"/>
  <c r="J84" i="3"/>
  <c r="J83" i="3"/>
  <c r="J82" i="3"/>
  <c r="J81" i="3"/>
  <c r="J80" i="3"/>
  <c r="G79" i="3"/>
  <c r="J79" i="3" s="1"/>
  <c r="D79" i="3"/>
  <c r="J78" i="3"/>
  <c r="J76" i="3"/>
  <c r="G74" i="3"/>
  <c r="J73" i="3"/>
  <c r="G72" i="3"/>
  <c r="D72" i="3"/>
  <c r="J71" i="3"/>
  <c r="G70" i="3"/>
  <c r="D70" i="3"/>
  <c r="J69" i="3"/>
  <c r="J68" i="3"/>
  <c r="J67" i="3"/>
  <c r="J66" i="3"/>
  <c r="J65" i="3"/>
  <c r="J64" i="3"/>
  <c r="G63" i="3"/>
  <c r="J63" i="3" s="1"/>
  <c r="D63" i="3"/>
  <c r="J62" i="3"/>
  <c r="G61" i="3"/>
  <c r="D61" i="3"/>
  <c r="J61" i="3" s="1"/>
  <c r="J60" i="3"/>
  <c r="J59" i="3"/>
  <c r="J58" i="3"/>
  <c r="G57" i="3"/>
  <c r="D57" i="3"/>
  <c r="J56" i="3"/>
  <c r="J55" i="3"/>
  <c r="J54" i="3"/>
  <c r="G53" i="3"/>
  <c r="J53" i="3" s="1"/>
  <c r="D53" i="3"/>
  <c r="G52" i="3"/>
  <c r="J52" i="3" s="1"/>
  <c r="D52" i="3"/>
  <c r="G51" i="3"/>
  <c r="D51" i="3"/>
  <c r="J50" i="3"/>
  <c r="J49" i="3"/>
  <c r="J48" i="3"/>
  <c r="J47" i="3"/>
  <c r="G46" i="3"/>
  <c r="J46" i="3" s="1"/>
  <c r="D46" i="3"/>
  <c r="J45" i="3"/>
  <c r="G44" i="3"/>
  <c r="D44" i="3"/>
  <c r="J43" i="3"/>
  <c r="G42" i="3"/>
  <c r="J42" i="3" s="1"/>
  <c r="D42" i="3"/>
  <c r="J41" i="3"/>
  <c r="J40" i="3"/>
  <c r="J39" i="3"/>
  <c r="G38" i="3"/>
  <c r="J38" i="3" s="1"/>
  <c r="G37" i="3"/>
  <c r="J37" i="3" s="1"/>
  <c r="G36" i="3"/>
  <c r="J36" i="3" s="1"/>
  <c r="J35" i="3"/>
  <c r="J34" i="3"/>
  <c r="J33" i="3"/>
  <c r="J32" i="3"/>
  <c r="G31" i="3"/>
  <c r="J31" i="3" s="1"/>
  <c r="D31" i="3"/>
  <c r="J30" i="3"/>
  <c r="J29" i="3"/>
  <c r="J28" i="3"/>
  <c r="J27" i="3"/>
  <c r="J26" i="3"/>
  <c r="J25" i="3"/>
  <c r="J24" i="3"/>
  <c r="J23" i="3"/>
  <c r="G22" i="3"/>
  <c r="G21" i="3"/>
  <c r="D21" i="3"/>
  <c r="J20" i="3"/>
  <c r="G19" i="3"/>
  <c r="D19" i="3"/>
  <c r="G18" i="3"/>
  <c r="D18" i="3"/>
  <c r="J17" i="3"/>
  <c r="G16" i="3"/>
  <c r="J16" i="3" s="1"/>
  <c r="D16" i="3"/>
  <c r="G15" i="3"/>
  <c r="D15" i="3"/>
  <c r="J14" i="3"/>
  <c r="J13" i="3"/>
  <c r="J12" i="3"/>
  <c r="J11" i="3"/>
  <c r="G10" i="3"/>
  <c r="D10" i="3"/>
  <c r="J9" i="3"/>
  <c r="J8" i="3"/>
  <c r="J7" i="3"/>
  <c r="J6" i="3"/>
  <c r="J5" i="3"/>
  <c r="J4" i="3"/>
  <c r="J3" i="3"/>
  <c r="J51" i="3" l="1"/>
  <c r="J113" i="3"/>
  <c r="J205" i="3"/>
  <c r="J339" i="3"/>
  <c r="J360" i="3"/>
  <c r="J399" i="3"/>
  <c r="J103" i="3"/>
  <c r="J133" i="3"/>
  <c r="J151" i="3"/>
  <c r="J193" i="3"/>
  <c r="J198" i="3"/>
  <c r="J231" i="3"/>
  <c r="J15" i="3"/>
  <c r="J93" i="3"/>
  <c r="J144" i="3"/>
  <c r="J223" i="3"/>
  <c r="J57" i="3"/>
  <c r="J211" i="3"/>
  <c r="J239" i="3"/>
  <c r="J250" i="3"/>
  <c r="J401" i="3"/>
  <c r="J244" i="3"/>
  <c r="J427" i="3"/>
  <c r="J3" i="5"/>
  <c r="J240" i="3"/>
  <c r="J44" i="3"/>
  <c r="J22" i="3"/>
  <c r="J18" i="3"/>
  <c r="J195" i="3"/>
  <c r="J379" i="3"/>
  <c r="J145" i="3"/>
  <c r="J277" i="3"/>
  <c r="J321" i="3"/>
  <c r="J351" i="3"/>
  <c r="J376" i="3"/>
  <c r="J19" i="3"/>
  <c r="J72" i="3"/>
  <c r="J87" i="3"/>
  <c r="J236" i="3"/>
  <c r="J377" i="3"/>
  <c r="J10" i="3"/>
  <c r="J107" i="3"/>
  <c r="J178" i="3"/>
  <c r="J246" i="3"/>
  <c r="J373" i="3"/>
  <c r="J21" i="3"/>
  <c r="J220" i="3"/>
  <c r="J70" i="3"/>
  <c r="J179" i="3"/>
  <c r="J364" i="3"/>
  <c r="J413" i="3"/>
  <c r="J418" i="3"/>
  <c r="U478" i="2" l="1"/>
  <c r="V478" i="2" s="1"/>
  <c r="U477" i="2"/>
  <c r="V477" i="2" s="1"/>
  <c r="U476" i="2"/>
  <c r="U475" i="2"/>
  <c r="V475" i="2" s="1"/>
  <c r="U474" i="2"/>
  <c r="V474" i="2" s="1"/>
  <c r="U473" i="2"/>
  <c r="V473" i="2" s="1"/>
  <c r="U472" i="2"/>
  <c r="V472" i="2" s="1"/>
  <c r="U471" i="2"/>
  <c r="V471" i="2" s="1"/>
  <c r="N471" i="2"/>
  <c r="U470" i="2"/>
  <c r="V470" i="2" s="1"/>
  <c r="U468" i="2"/>
  <c r="V468" i="2" s="1"/>
  <c r="I467" i="2"/>
  <c r="U467" i="2" s="1"/>
  <c r="V467" i="2" s="1"/>
  <c r="U466" i="2"/>
  <c r="V466" i="2" s="1"/>
  <c r="U465" i="2"/>
  <c r="V465" i="2" s="1"/>
  <c r="U464" i="2"/>
  <c r="V464" i="2" s="1"/>
  <c r="U463" i="2"/>
  <c r="V463" i="2" s="1"/>
  <c r="U462" i="2"/>
  <c r="V462" i="2" s="1"/>
  <c r="U461" i="2"/>
  <c r="V461" i="2" s="1"/>
  <c r="U460" i="2"/>
  <c r="V460" i="2" s="1"/>
  <c r="N460" i="2"/>
  <c r="U459" i="2"/>
  <c r="V459" i="2" s="1"/>
  <c r="N457" i="2"/>
  <c r="U458" i="2"/>
  <c r="V458" i="2" s="1"/>
  <c r="U457" i="2"/>
  <c r="V457" i="2" s="1"/>
  <c r="U456" i="2"/>
  <c r="V456" i="2" s="1"/>
  <c r="N451" i="2"/>
  <c r="U455" i="2"/>
  <c r="V455" i="2" s="1"/>
  <c r="U454" i="2"/>
  <c r="V454" i="2" s="1"/>
  <c r="U453" i="2"/>
  <c r="V453" i="2" s="1"/>
  <c r="U452" i="2"/>
  <c r="V452" i="2" s="1"/>
  <c r="U451" i="2"/>
  <c r="V451" i="2" s="1"/>
  <c r="U450" i="2"/>
  <c r="V450" i="2" s="1"/>
  <c r="N450" i="2"/>
  <c r="U449" i="2"/>
  <c r="V449" i="2" s="1"/>
  <c r="N449" i="2"/>
  <c r="U448" i="2"/>
  <c r="V448" i="2" s="1"/>
  <c r="N448" i="2"/>
  <c r="U447" i="2"/>
  <c r="V447" i="2" s="1"/>
  <c r="N447" i="2"/>
  <c r="I446" i="2"/>
  <c r="U446" i="2" s="1"/>
  <c r="V446" i="2" s="1"/>
  <c r="I445" i="2"/>
  <c r="U445" i="2" s="1"/>
  <c r="V445" i="2" s="1"/>
  <c r="U444" i="2"/>
  <c r="V444" i="2" s="1"/>
  <c r="N443" i="2"/>
  <c r="U443" i="2"/>
  <c r="V443" i="2" s="1"/>
  <c r="U442" i="2"/>
  <c r="V442" i="2" s="1"/>
  <c r="N442" i="2"/>
  <c r="U441" i="2"/>
  <c r="V441" i="2" s="1"/>
  <c r="U440" i="2"/>
  <c r="V440" i="2" s="1"/>
  <c r="U439" i="2"/>
  <c r="V439" i="2" s="1"/>
  <c r="N439" i="2"/>
  <c r="U438" i="2"/>
  <c r="V438" i="2" s="1"/>
  <c r="N438" i="2"/>
  <c r="N437" i="2"/>
  <c r="I437" i="2"/>
  <c r="U437" i="2" s="1"/>
  <c r="V437" i="2" s="1"/>
  <c r="U436" i="2"/>
  <c r="V436" i="2" s="1"/>
  <c r="N436" i="2"/>
  <c r="U435" i="2"/>
  <c r="V435" i="2" s="1"/>
  <c r="N435" i="2"/>
  <c r="N434" i="2"/>
  <c r="I434" i="2"/>
  <c r="U434" i="2" s="1"/>
  <c r="V434" i="2" s="1"/>
  <c r="N433" i="2"/>
  <c r="I433" i="2"/>
  <c r="U433" i="2" s="1"/>
  <c r="V433" i="2" s="1"/>
  <c r="U432" i="2"/>
  <c r="V432" i="2" s="1"/>
  <c r="N432" i="2"/>
  <c r="U431" i="2"/>
  <c r="V431" i="2" s="1"/>
  <c r="U430" i="2"/>
  <c r="V430" i="2" s="1"/>
  <c r="N430" i="2"/>
  <c r="U429" i="2"/>
  <c r="V429" i="2" s="1"/>
  <c r="N429" i="2"/>
  <c r="U428" i="2"/>
  <c r="V428" i="2" s="1"/>
  <c r="N428" i="2"/>
  <c r="U427" i="2"/>
  <c r="V427" i="2" s="1"/>
  <c r="N427" i="2"/>
  <c r="U426" i="2"/>
  <c r="V426" i="2" s="1"/>
  <c r="U425" i="2"/>
  <c r="V425" i="2" s="1"/>
  <c r="N425" i="2"/>
  <c r="U424" i="2"/>
  <c r="V424" i="2" s="1"/>
  <c r="N424" i="2"/>
  <c r="U419" i="2"/>
  <c r="V419" i="2" s="1"/>
  <c r="N419" i="2"/>
  <c r="U418" i="2"/>
  <c r="V418" i="2" s="1"/>
  <c r="N417" i="2"/>
  <c r="I417" i="2"/>
  <c r="U417" i="2" s="1"/>
  <c r="V417" i="2" s="1"/>
  <c r="U416" i="2"/>
  <c r="V416" i="2" s="1"/>
  <c r="N416" i="2"/>
  <c r="N415" i="2"/>
  <c r="I415" i="2"/>
  <c r="U415" i="2" s="1"/>
  <c r="V415" i="2" s="1"/>
  <c r="U414" i="2"/>
  <c r="V414" i="2" s="1"/>
  <c r="N414" i="2"/>
  <c r="U413" i="2"/>
  <c r="V413" i="2" s="1"/>
  <c r="N413" i="2"/>
  <c r="U412" i="2"/>
  <c r="V412" i="2" s="1"/>
  <c r="N412" i="2"/>
  <c r="U411" i="2"/>
  <c r="V411" i="2" s="1"/>
  <c r="U410" i="2"/>
  <c r="V410" i="2" s="1"/>
  <c r="U409" i="2"/>
  <c r="V409" i="2" s="1"/>
  <c r="U408" i="2"/>
  <c r="V408" i="2" s="1"/>
  <c r="U407" i="2"/>
  <c r="V407" i="2" s="1"/>
  <c r="U406" i="2"/>
  <c r="V406" i="2" s="1"/>
  <c r="N406" i="2"/>
  <c r="U405" i="2"/>
  <c r="V405" i="2" s="1"/>
  <c r="N405" i="2"/>
  <c r="U404" i="2"/>
  <c r="V404" i="2" s="1"/>
  <c r="N404" i="2"/>
  <c r="U403" i="2"/>
  <c r="V403" i="2" s="1"/>
  <c r="N403" i="2"/>
  <c r="U402" i="2"/>
  <c r="V402" i="2" s="1"/>
  <c r="N402" i="2"/>
  <c r="U401" i="2"/>
  <c r="V401" i="2" s="1"/>
  <c r="N401" i="2"/>
  <c r="U400" i="2"/>
  <c r="V400" i="2" s="1"/>
  <c r="N400" i="2"/>
  <c r="U399" i="2"/>
  <c r="V399" i="2" s="1"/>
  <c r="N399" i="2"/>
  <c r="U398" i="2"/>
  <c r="V398" i="2" s="1"/>
  <c r="N398" i="2"/>
  <c r="U397" i="2"/>
  <c r="V397" i="2" s="1"/>
  <c r="N396" i="2"/>
  <c r="I396" i="2"/>
  <c r="U396" i="2" s="1"/>
  <c r="V396" i="2" s="1"/>
  <c r="I395" i="2"/>
  <c r="U395" i="2" s="1"/>
  <c r="V395" i="2" s="1"/>
  <c r="I394" i="2"/>
  <c r="U394" i="2" s="1"/>
  <c r="V394" i="2" s="1"/>
  <c r="I393" i="2"/>
  <c r="U393" i="2" s="1"/>
  <c r="V393" i="2" s="1"/>
  <c r="I392" i="2"/>
  <c r="U392" i="2" s="1"/>
  <c r="V392" i="2" s="1"/>
  <c r="I391" i="2"/>
  <c r="U391" i="2" s="1"/>
  <c r="V391" i="2" s="1"/>
  <c r="U390" i="2"/>
  <c r="V390" i="2" s="1"/>
  <c r="I389" i="2"/>
  <c r="U389" i="2" s="1"/>
  <c r="V389" i="2" s="1"/>
  <c r="I388" i="2"/>
  <c r="U388" i="2" s="1"/>
  <c r="V388" i="2" s="1"/>
  <c r="I387" i="2"/>
  <c r="U387" i="2" s="1"/>
  <c r="V387" i="2" s="1"/>
  <c r="U386" i="2"/>
  <c r="V386" i="2" s="1"/>
  <c r="U385" i="2"/>
  <c r="V385" i="2" s="1"/>
  <c r="U384" i="2"/>
  <c r="V384" i="2" s="1"/>
  <c r="U383" i="2"/>
  <c r="V383" i="2" s="1"/>
  <c r="N383" i="2"/>
  <c r="U382" i="2"/>
  <c r="V382" i="2" s="1"/>
  <c r="U381" i="2"/>
  <c r="V381" i="2" s="1"/>
  <c r="I380" i="2"/>
  <c r="U380" i="2" s="1"/>
  <c r="V380" i="2" s="1"/>
  <c r="I379" i="2"/>
  <c r="U379" i="2" s="1"/>
  <c r="V379" i="2" s="1"/>
  <c r="N378" i="2"/>
  <c r="I378" i="2"/>
  <c r="U378" i="2" s="1"/>
  <c r="V378" i="2" s="1"/>
  <c r="U377" i="2"/>
  <c r="V377" i="2" s="1"/>
  <c r="N377" i="2"/>
  <c r="I376" i="2"/>
  <c r="U376" i="2" s="1"/>
  <c r="V376" i="2" s="1"/>
  <c r="U375" i="2"/>
  <c r="V375" i="2" s="1"/>
  <c r="I374" i="2"/>
  <c r="U374" i="2" s="1"/>
  <c r="V374" i="2" s="1"/>
  <c r="U373" i="2"/>
  <c r="V373" i="2" s="1"/>
  <c r="N373" i="2"/>
  <c r="U372" i="2"/>
  <c r="V372" i="2" s="1"/>
  <c r="N372" i="2"/>
  <c r="U371" i="2"/>
  <c r="V371" i="2" s="1"/>
  <c r="N371" i="2"/>
  <c r="U370" i="2"/>
  <c r="V370" i="2" s="1"/>
  <c r="N370" i="2"/>
  <c r="U369" i="2"/>
  <c r="V369" i="2" s="1"/>
  <c r="N369" i="2"/>
  <c r="U368" i="2"/>
  <c r="V368" i="2" s="1"/>
  <c r="N367" i="2"/>
  <c r="I367" i="2"/>
  <c r="U367" i="2" s="1"/>
  <c r="V367" i="2" s="1"/>
  <c r="U366" i="2"/>
  <c r="V366" i="2" s="1"/>
  <c r="N366" i="2"/>
  <c r="U365" i="2"/>
  <c r="V365" i="2" s="1"/>
  <c r="N365" i="2"/>
  <c r="U364" i="2"/>
  <c r="V364" i="2" s="1"/>
  <c r="N364" i="2"/>
  <c r="U363" i="2"/>
  <c r="V363" i="2" s="1"/>
  <c r="N363" i="2"/>
  <c r="U362" i="2"/>
  <c r="V362" i="2" s="1"/>
  <c r="N362" i="2"/>
  <c r="U361" i="2"/>
  <c r="V361" i="2" s="1"/>
  <c r="N361" i="2"/>
  <c r="U360" i="2"/>
  <c r="V360" i="2" s="1"/>
  <c r="N360" i="2"/>
  <c r="U359" i="2"/>
  <c r="V359" i="2" s="1"/>
  <c r="N357" i="2"/>
  <c r="U358" i="2"/>
  <c r="V358" i="2" s="1"/>
  <c r="U357" i="2"/>
  <c r="V357" i="2" s="1"/>
  <c r="U356" i="2"/>
  <c r="V356" i="2" s="1"/>
  <c r="N356" i="2"/>
  <c r="N355" i="2"/>
  <c r="I355" i="2"/>
  <c r="U355" i="2" s="1"/>
  <c r="V355" i="2" s="1"/>
  <c r="U354" i="2"/>
  <c r="V354" i="2" s="1"/>
  <c r="N354" i="2"/>
  <c r="U353" i="2"/>
  <c r="V353" i="2" s="1"/>
  <c r="N353" i="2"/>
  <c r="U352" i="2"/>
  <c r="V352" i="2" s="1"/>
  <c r="U351" i="2"/>
  <c r="V351" i="2" s="1"/>
  <c r="U350" i="2"/>
  <c r="V350" i="2" s="1"/>
  <c r="N350" i="2"/>
  <c r="U349" i="2"/>
  <c r="V349" i="2" s="1"/>
  <c r="N349" i="2"/>
  <c r="U348" i="2"/>
  <c r="V348" i="2" s="1"/>
  <c r="U347" i="2"/>
  <c r="V347" i="2" s="1"/>
  <c r="U346" i="2"/>
  <c r="V346" i="2" s="1"/>
  <c r="U345" i="2"/>
  <c r="V345" i="2" s="1"/>
  <c r="N345" i="2"/>
  <c r="U344" i="2"/>
  <c r="V344" i="2" s="1"/>
  <c r="N344" i="2"/>
  <c r="U343" i="2"/>
  <c r="V343" i="2" s="1"/>
  <c r="N343" i="2"/>
  <c r="U342" i="2"/>
  <c r="V342" i="2" s="1"/>
  <c r="N342" i="2"/>
  <c r="U341" i="2"/>
  <c r="V341" i="2" s="1"/>
  <c r="N341" i="2"/>
  <c r="U340" i="2"/>
  <c r="V340" i="2" s="1"/>
  <c r="N340" i="2"/>
  <c r="U339" i="2"/>
  <c r="V339" i="2" s="1"/>
  <c r="N339" i="2"/>
  <c r="U338" i="2"/>
  <c r="V338" i="2" s="1"/>
  <c r="N338" i="2"/>
  <c r="N337" i="2"/>
  <c r="I337" i="2"/>
  <c r="U337" i="2" s="1"/>
  <c r="V337" i="2" s="1"/>
  <c r="U336" i="2"/>
  <c r="V336" i="2" s="1"/>
  <c r="N336" i="2"/>
  <c r="U335" i="2"/>
  <c r="V335" i="2" s="1"/>
  <c r="N335" i="2"/>
  <c r="U334" i="2"/>
  <c r="V334" i="2" s="1"/>
  <c r="N334" i="2"/>
  <c r="U333" i="2"/>
  <c r="V333" i="2" s="1"/>
  <c r="N333" i="2"/>
  <c r="U332" i="2"/>
  <c r="V332" i="2" s="1"/>
  <c r="N332" i="2"/>
  <c r="U331" i="2"/>
  <c r="V331" i="2" s="1"/>
  <c r="N331" i="2"/>
  <c r="N330" i="2"/>
  <c r="I330" i="2"/>
  <c r="U330" i="2" s="1"/>
  <c r="V330" i="2" s="1"/>
  <c r="U329" i="2"/>
  <c r="V329" i="2" s="1"/>
  <c r="N329" i="2"/>
  <c r="U328" i="2"/>
  <c r="V328" i="2" s="1"/>
  <c r="N328" i="2"/>
  <c r="U327" i="2"/>
  <c r="V327" i="2" s="1"/>
  <c r="N327" i="2"/>
  <c r="U326" i="2"/>
  <c r="V326" i="2" s="1"/>
  <c r="N326" i="2"/>
  <c r="U325" i="2"/>
  <c r="V325" i="2" s="1"/>
  <c r="N325" i="2"/>
  <c r="U324" i="2"/>
  <c r="V324" i="2" s="1"/>
  <c r="N323" i="2"/>
  <c r="U323" i="2"/>
  <c r="V323" i="2" s="1"/>
  <c r="U322" i="2"/>
  <c r="V322" i="2" s="1"/>
  <c r="N322" i="2"/>
  <c r="U321" i="2"/>
  <c r="V321" i="2" s="1"/>
  <c r="N321" i="2"/>
  <c r="U320" i="2"/>
  <c r="V320" i="2" s="1"/>
  <c r="U319" i="2"/>
  <c r="V319" i="2" s="1"/>
  <c r="U317" i="2"/>
  <c r="V317" i="2" s="1"/>
  <c r="U316" i="2"/>
  <c r="V316" i="2" s="1"/>
  <c r="U315" i="2"/>
  <c r="V315" i="2" s="1"/>
  <c r="U314" i="2"/>
  <c r="V314" i="2" s="1"/>
  <c r="N314" i="2"/>
  <c r="U313" i="2"/>
  <c r="V313" i="2" s="1"/>
  <c r="N313" i="2"/>
  <c r="U312" i="2"/>
  <c r="V312" i="2" s="1"/>
  <c r="N312" i="2"/>
  <c r="U311" i="2"/>
  <c r="V311" i="2" s="1"/>
  <c r="N311" i="2"/>
  <c r="U310" i="2"/>
  <c r="V310" i="2" s="1"/>
  <c r="N310" i="2"/>
  <c r="U309" i="2"/>
  <c r="V309" i="2" s="1"/>
  <c r="N309" i="2"/>
  <c r="U308" i="2"/>
  <c r="V308" i="2" s="1"/>
  <c r="N308" i="2"/>
  <c r="U307" i="2"/>
  <c r="V307" i="2" s="1"/>
  <c r="U306" i="2"/>
  <c r="V306" i="2" s="1"/>
  <c r="U305" i="2"/>
  <c r="V305" i="2" s="1"/>
  <c r="U304" i="2"/>
  <c r="V304" i="2" s="1"/>
  <c r="N304" i="2"/>
  <c r="U303" i="2"/>
  <c r="V303" i="2" s="1"/>
  <c r="N303" i="2"/>
  <c r="U302" i="2"/>
  <c r="V302" i="2" s="1"/>
  <c r="N302" i="2"/>
  <c r="N301" i="2"/>
  <c r="I301" i="2"/>
  <c r="U301" i="2" s="1"/>
  <c r="V301" i="2" s="1"/>
  <c r="U300" i="2"/>
  <c r="V300" i="2" s="1"/>
  <c r="N300" i="2"/>
  <c r="U299" i="2"/>
  <c r="V299" i="2" s="1"/>
  <c r="H299" i="2"/>
  <c r="N299" i="2" s="1"/>
  <c r="U297" i="2"/>
  <c r="V297" i="2" s="1"/>
  <c r="N297" i="2"/>
  <c r="U296" i="2"/>
  <c r="V296" i="2" s="1"/>
  <c r="N296" i="2"/>
  <c r="N295" i="2"/>
  <c r="I295" i="2"/>
  <c r="U295" i="2" s="1"/>
  <c r="V295" i="2" s="1"/>
  <c r="I294" i="2"/>
  <c r="U294" i="2" s="1"/>
  <c r="V294" i="2" s="1"/>
  <c r="I293" i="2"/>
  <c r="U293" i="2" s="1"/>
  <c r="V293" i="2" s="1"/>
  <c r="N292" i="2"/>
  <c r="I292" i="2"/>
  <c r="U292" i="2" s="1"/>
  <c r="V292" i="2" s="1"/>
  <c r="U291" i="2"/>
  <c r="V291" i="2" s="1"/>
  <c r="N291" i="2"/>
  <c r="U290" i="2"/>
  <c r="V290" i="2" s="1"/>
  <c r="N290" i="2"/>
  <c r="U289" i="2"/>
  <c r="V289" i="2" s="1"/>
  <c r="N289" i="2"/>
  <c r="U288" i="2"/>
  <c r="V288" i="2" s="1"/>
  <c r="N287" i="2"/>
  <c r="U287" i="2"/>
  <c r="V287" i="2" s="1"/>
  <c r="N286" i="2"/>
  <c r="U286" i="2"/>
  <c r="V286" i="2" s="1"/>
  <c r="U285" i="2"/>
  <c r="V285" i="2" s="1"/>
  <c r="U284" i="2"/>
  <c r="V284" i="2" s="1"/>
  <c r="N284" i="2"/>
  <c r="U283" i="2"/>
  <c r="V283" i="2" s="1"/>
  <c r="N283" i="2"/>
  <c r="U282" i="2"/>
  <c r="V282" i="2" s="1"/>
  <c r="N282" i="2"/>
  <c r="U281" i="2"/>
  <c r="V281" i="2" s="1"/>
  <c r="N281" i="2"/>
  <c r="U280" i="2"/>
  <c r="V280" i="2" s="1"/>
  <c r="U279" i="2"/>
  <c r="V279" i="2" s="1"/>
  <c r="N279" i="2"/>
  <c r="U278" i="2"/>
  <c r="V278" i="2" s="1"/>
  <c r="N278" i="2"/>
  <c r="U277" i="2"/>
  <c r="V277" i="2" s="1"/>
  <c r="N277" i="2"/>
  <c r="U276" i="2"/>
  <c r="V276" i="2" s="1"/>
  <c r="N276" i="2"/>
  <c r="U275" i="2"/>
  <c r="V275" i="2" s="1"/>
  <c r="N275" i="2"/>
  <c r="U274" i="2"/>
  <c r="V274" i="2" s="1"/>
  <c r="N274" i="2"/>
  <c r="U273" i="2"/>
  <c r="V273" i="2" s="1"/>
  <c r="U272" i="2"/>
  <c r="V272" i="2" s="1"/>
  <c r="U271" i="2"/>
  <c r="V271" i="2" s="1"/>
  <c r="N271" i="2"/>
  <c r="N270" i="2"/>
  <c r="I270" i="2"/>
  <c r="U270" i="2" s="1"/>
  <c r="V270" i="2" s="1"/>
  <c r="N269" i="2"/>
  <c r="I269" i="2"/>
  <c r="U269" i="2" s="1"/>
  <c r="V269" i="2" s="1"/>
  <c r="U268" i="2"/>
  <c r="V268" i="2" s="1"/>
  <c r="N267" i="2"/>
  <c r="I267" i="2"/>
  <c r="U267" i="2" s="1"/>
  <c r="V267" i="2" s="1"/>
  <c r="U266" i="2"/>
  <c r="V266" i="2" s="1"/>
  <c r="N266" i="2"/>
  <c r="I265" i="2"/>
  <c r="U265" i="2" s="1"/>
  <c r="V265" i="2" s="1"/>
  <c r="I264" i="2"/>
  <c r="U264" i="2" s="1"/>
  <c r="V264" i="2" s="1"/>
  <c r="N263" i="2"/>
  <c r="I263" i="2"/>
  <c r="U263" i="2" s="1"/>
  <c r="V263" i="2" s="1"/>
  <c r="I262" i="2"/>
  <c r="U262" i="2" s="1"/>
  <c r="V262" i="2" s="1"/>
  <c r="I261" i="2"/>
  <c r="U261" i="2" s="1"/>
  <c r="V261" i="2" s="1"/>
  <c r="U260" i="2"/>
  <c r="V260" i="2" s="1"/>
  <c r="U259" i="2"/>
  <c r="V259" i="2" s="1"/>
  <c r="U258" i="2"/>
  <c r="V258" i="2" s="1"/>
  <c r="I257" i="2"/>
  <c r="U257" i="2" s="1"/>
  <c r="V257" i="2" s="1"/>
  <c r="N256" i="2"/>
  <c r="I256" i="2"/>
  <c r="U256" i="2" s="1"/>
  <c r="V256" i="2" s="1"/>
  <c r="I255" i="2"/>
  <c r="U255" i="2" s="1"/>
  <c r="V255" i="2" s="1"/>
  <c r="U254" i="2"/>
  <c r="V254" i="2" s="1"/>
  <c r="N253" i="2"/>
  <c r="I253" i="2"/>
  <c r="U253" i="2" s="1"/>
  <c r="V253" i="2" s="1"/>
  <c r="U252" i="2"/>
  <c r="V252" i="2" s="1"/>
  <c r="N252" i="2"/>
  <c r="U251" i="2"/>
  <c r="V251" i="2" s="1"/>
  <c r="N251" i="2"/>
  <c r="N250" i="2"/>
  <c r="I250" i="2"/>
  <c r="U250" i="2" s="1"/>
  <c r="V250" i="2" s="1"/>
  <c r="U249" i="2"/>
  <c r="V249" i="2" s="1"/>
  <c r="I248" i="2"/>
  <c r="U248" i="2" s="1"/>
  <c r="V248" i="2" s="1"/>
  <c r="N247" i="2"/>
  <c r="I247" i="2"/>
  <c r="U247" i="2" s="1"/>
  <c r="V247" i="2" s="1"/>
  <c r="U246" i="2"/>
  <c r="V246" i="2" s="1"/>
  <c r="N245" i="2"/>
  <c r="U245" i="2"/>
  <c r="V245" i="2" s="1"/>
  <c r="U244" i="2"/>
  <c r="V244" i="2" s="1"/>
  <c r="N244" i="2"/>
  <c r="U243" i="2"/>
  <c r="V243" i="2" s="1"/>
  <c r="N243" i="2"/>
  <c r="U242" i="2"/>
  <c r="V242" i="2" s="1"/>
  <c r="N241" i="2"/>
  <c r="U241" i="2"/>
  <c r="V241" i="2" s="1"/>
  <c r="N240" i="2"/>
  <c r="I240" i="2"/>
  <c r="U240" i="2" s="1"/>
  <c r="V240" i="2" s="1"/>
  <c r="U239" i="2"/>
  <c r="V239" i="2" s="1"/>
  <c r="N239" i="2"/>
  <c r="U238" i="2"/>
  <c r="V238" i="2" s="1"/>
  <c r="N237" i="2"/>
  <c r="I237" i="2"/>
  <c r="U237" i="2" s="1"/>
  <c r="V237" i="2" s="1"/>
  <c r="U236" i="2"/>
  <c r="V236" i="2" s="1"/>
  <c r="U235" i="2"/>
  <c r="V235" i="2" s="1"/>
  <c r="U234" i="2"/>
  <c r="V234" i="2" s="1"/>
  <c r="N234" i="2"/>
  <c r="U233" i="2"/>
  <c r="V233" i="2" s="1"/>
  <c r="N233" i="2"/>
  <c r="U232" i="2"/>
  <c r="V232" i="2" s="1"/>
  <c r="N232" i="2"/>
  <c r="U231" i="2"/>
  <c r="V231" i="2" s="1"/>
  <c r="N231" i="2"/>
  <c r="U230" i="2"/>
  <c r="V230" i="2" s="1"/>
  <c r="U229" i="2"/>
  <c r="V229" i="2" s="1"/>
  <c r="N229" i="2"/>
  <c r="I228" i="2"/>
  <c r="U228" i="2" s="1"/>
  <c r="V228" i="2" s="1"/>
  <c r="U227" i="2"/>
  <c r="V227" i="2" s="1"/>
  <c r="U226" i="2"/>
  <c r="V226" i="2" s="1"/>
  <c r="N226" i="2"/>
  <c r="U225" i="2"/>
  <c r="V225" i="2" s="1"/>
  <c r="N225" i="2"/>
  <c r="N224" i="2"/>
  <c r="I224" i="2"/>
  <c r="U224" i="2" s="1"/>
  <c r="V224" i="2" s="1"/>
  <c r="N223" i="2"/>
  <c r="I223" i="2"/>
  <c r="U223" i="2" s="1"/>
  <c r="V223" i="2" s="1"/>
  <c r="I222" i="2"/>
  <c r="U222" i="2" s="1"/>
  <c r="V222" i="2" s="1"/>
  <c r="I221" i="2"/>
  <c r="U221" i="2" s="1"/>
  <c r="V221" i="2" s="1"/>
  <c r="N220" i="2"/>
  <c r="I220" i="2"/>
  <c r="U220" i="2" s="1"/>
  <c r="V220" i="2" s="1"/>
  <c r="U219" i="2"/>
  <c r="V219" i="2" s="1"/>
  <c r="N219" i="2"/>
  <c r="U218" i="2"/>
  <c r="V218" i="2" s="1"/>
  <c r="U217" i="2"/>
  <c r="V217" i="2" s="1"/>
  <c r="U216" i="2"/>
  <c r="V216" i="2" s="1"/>
  <c r="N216" i="2"/>
  <c r="I215" i="2"/>
  <c r="U215" i="2" s="1"/>
  <c r="V215" i="2" s="1"/>
  <c r="U214" i="2"/>
  <c r="V214" i="2" s="1"/>
  <c r="N214" i="2"/>
  <c r="U213" i="2"/>
  <c r="V213" i="2" s="1"/>
  <c r="N213" i="2"/>
  <c r="N212" i="2"/>
  <c r="I212" i="2"/>
  <c r="U212" i="2" s="1"/>
  <c r="V212" i="2" s="1"/>
  <c r="U211" i="2"/>
  <c r="V211" i="2" s="1"/>
  <c r="N210" i="2"/>
  <c r="I210" i="2"/>
  <c r="U210" i="2" s="1"/>
  <c r="V210" i="2" s="1"/>
  <c r="U209" i="2"/>
  <c r="V209" i="2" s="1"/>
  <c r="N209" i="2"/>
  <c r="U208" i="2"/>
  <c r="V208" i="2" s="1"/>
  <c r="N208" i="2"/>
  <c r="U207" i="2"/>
  <c r="V207" i="2" s="1"/>
  <c r="N207" i="2"/>
  <c r="U206" i="2"/>
  <c r="V206" i="2" s="1"/>
  <c r="N206" i="2"/>
  <c r="U205" i="2"/>
  <c r="V205" i="2" s="1"/>
  <c r="N205" i="2"/>
  <c r="U204" i="2"/>
  <c r="V204" i="2" s="1"/>
  <c r="N204" i="2"/>
  <c r="U203" i="2"/>
  <c r="V203" i="2" s="1"/>
  <c r="N203" i="2"/>
  <c r="U202" i="2"/>
  <c r="V202" i="2" s="1"/>
  <c r="N202" i="2"/>
  <c r="U201" i="2"/>
  <c r="V201" i="2" s="1"/>
  <c r="N201" i="2"/>
  <c r="U200" i="2"/>
  <c r="V200" i="2" s="1"/>
  <c r="U199" i="2"/>
  <c r="V199" i="2" s="1"/>
  <c r="U198" i="2"/>
  <c r="V198" i="2" s="1"/>
  <c r="U197" i="2"/>
  <c r="V197" i="2" s="1"/>
  <c r="N197" i="2"/>
  <c r="I196" i="2"/>
  <c r="U196" i="2" s="1"/>
  <c r="V196" i="2" s="1"/>
  <c r="N195" i="2"/>
  <c r="I195" i="2"/>
  <c r="U195" i="2" s="1"/>
  <c r="V195" i="2" s="1"/>
  <c r="U194" i="2"/>
  <c r="V194" i="2" s="1"/>
  <c r="U193" i="2"/>
  <c r="V193" i="2" s="1"/>
  <c r="N193" i="2"/>
  <c r="U192" i="2"/>
  <c r="V192" i="2" s="1"/>
  <c r="N192" i="2"/>
  <c r="N191" i="2"/>
  <c r="I191" i="2"/>
  <c r="U191" i="2" s="1"/>
  <c r="V191" i="2" s="1"/>
  <c r="I190" i="2"/>
  <c r="U190" i="2" s="1"/>
  <c r="V190" i="2" s="1"/>
  <c r="U189" i="2"/>
  <c r="V189" i="2" s="1"/>
  <c r="N189" i="2"/>
  <c r="U188" i="2"/>
  <c r="V188" i="2" s="1"/>
  <c r="N188" i="2"/>
  <c r="U187" i="2"/>
  <c r="V187" i="2" s="1"/>
  <c r="N187" i="2"/>
  <c r="U186" i="2"/>
  <c r="V186" i="2" s="1"/>
  <c r="N186" i="2"/>
  <c r="U185" i="2"/>
  <c r="V185" i="2" s="1"/>
  <c r="N185" i="2"/>
  <c r="U184" i="2"/>
  <c r="V184" i="2" s="1"/>
  <c r="N184" i="2"/>
  <c r="U183" i="2"/>
  <c r="V183" i="2" s="1"/>
  <c r="N183" i="2"/>
  <c r="U182" i="2"/>
  <c r="V182" i="2" s="1"/>
  <c r="N182" i="2"/>
  <c r="U181" i="2"/>
  <c r="V181" i="2" s="1"/>
  <c r="N181" i="2"/>
  <c r="U180" i="2"/>
  <c r="V180" i="2" s="1"/>
  <c r="N180" i="2"/>
  <c r="U179" i="2"/>
  <c r="V179" i="2" s="1"/>
  <c r="N179" i="2"/>
  <c r="U178" i="2"/>
  <c r="V178" i="2" s="1"/>
  <c r="N178" i="2"/>
  <c r="U177" i="2"/>
  <c r="V177" i="2" s="1"/>
  <c r="N177" i="2"/>
  <c r="U176" i="2"/>
  <c r="V176" i="2" s="1"/>
  <c r="N176" i="2"/>
  <c r="U175" i="2"/>
  <c r="V175" i="2" s="1"/>
  <c r="N175" i="2"/>
  <c r="U174" i="2"/>
  <c r="V174" i="2" s="1"/>
  <c r="N174" i="2"/>
  <c r="U173" i="2"/>
  <c r="V173" i="2" s="1"/>
  <c r="U172" i="2"/>
  <c r="V172" i="2" s="1"/>
  <c r="U171" i="2"/>
  <c r="V171" i="2" s="1"/>
  <c r="N171" i="2"/>
  <c r="N170" i="2"/>
  <c r="I170" i="2"/>
  <c r="U170" i="2" s="1"/>
  <c r="V170" i="2" s="1"/>
  <c r="U169" i="2"/>
  <c r="V169" i="2" s="1"/>
  <c r="N169" i="2"/>
  <c r="I168" i="2"/>
  <c r="U168" i="2" s="1"/>
  <c r="V168" i="2" s="1"/>
  <c r="N167" i="2"/>
  <c r="I167" i="2"/>
  <c r="U167" i="2" s="1"/>
  <c r="V167" i="2" s="1"/>
  <c r="N166" i="2"/>
  <c r="I166" i="2"/>
  <c r="U166" i="2" s="1"/>
  <c r="V166" i="2" s="1"/>
  <c r="U165" i="2"/>
  <c r="V165" i="2" s="1"/>
  <c r="N165" i="2"/>
  <c r="U164" i="2"/>
  <c r="V164" i="2" s="1"/>
  <c r="U163" i="2"/>
  <c r="V163" i="2" s="1"/>
  <c r="N163" i="2"/>
  <c r="N162" i="2"/>
  <c r="I162" i="2"/>
  <c r="U162" i="2" s="1"/>
  <c r="V162" i="2" s="1"/>
  <c r="N161" i="2"/>
  <c r="I161" i="2"/>
  <c r="U161" i="2" s="1"/>
  <c r="V161" i="2" s="1"/>
  <c r="U160" i="2"/>
  <c r="V160" i="2" s="1"/>
  <c r="N160" i="2"/>
  <c r="N159" i="2"/>
  <c r="I159" i="2"/>
  <c r="U159" i="2" s="1"/>
  <c r="V159" i="2" s="1"/>
  <c r="U158" i="2"/>
  <c r="V158" i="2" s="1"/>
  <c r="N158" i="2"/>
  <c r="U157" i="2"/>
  <c r="V157" i="2" s="1"/>
  <c r="N157" i="2"/>
  <c r="U156" i="2"/>
  <c r="V156" i="2" s="1"/>
  <c r="N156" i="2"/>
  <c r="U155" i="2"/>
  <c r="V155" i="2" s="1"/>
  <c r="N155" i="2"/>
  <c r="U151" i="2"/>
  <c r="V151" i="2" s="1"/>
  <c r="N151" i="2"/>
  <c r="U150" i="2"/>
  <c r="V150" i="2" s="1"/>
  <c r="N150" i="2"/>
  <c r="U149" i="2"/>
  <c r="V149" i="2" s="1"/>
  <c r="N149" i="2"/>
  <c r="N148" i="2"/>
  <c r="I148" i="2"/>
  <c r="U148" i="2" s="1"/>
  <c r="V148" i="2" s="1"/>
  <c r="U147" i="2"/>
  <c r="V147" i="2" s="1"/>
  <c r="N147" i="2"/>
  <c r="N146" i="2"/>
  <c r="I146" i="2"/>
  <c r="U146" i="2" s="1"/>
  <c r="V146" i="2" s="1"/>
  <c r="U145" i="2"/>
  <c r="V145" i="2" s="1"/>
  <c r="N145" i="2"/>
  <c r="U144" i="2"/>
  <c r="V144" i="2" s="1"/>
  <c r="N144" i="2"/>
  <c r="U143" i="2"/>
  <c r="V143" i="2" s="1"/>
  <c r="N143" i="2"/>
  <c r="U142" i="2"/>
  <c r="V142" i="2" s="1"/>
  <c r="N140" i="2"/>
  <c r="I140" i="2"/>
  <c r="U140" i="2" s="1"/>
  <c r="V140" i="2" s="1"/>
  <c r="U139" i="2"/>
  <c r="V139" i="2" s="1"/>
  <c r="N139" i="2"/>
  <c r="U138" i="2"/>
  <c r="V138" i="2" s="1"/>
  <c r="N138" i="2"/>
  <c r="U137" i="2"/>
  <c r="V137" i="2" s="1"/>
  <c r="N137" i="2"/>
  <c r="U136" i="2"/>
  <c r="V136" i="2" s="1"/>
  <c r="N136" i="2"/>
  <c r="U135" i="2"/>
  <c r="V135" i="2" s="1"/>
  <c r="N135" i="2"/>
  <c r="U134" i="2"/>
  <c r="V134" i="2" s="1"/>
  <c r="N134" i="2"/>
  <c r="U133" i="2"/>
  <c r="V133" i="2" s="1"/>
  <c r="N133" i="2"/>
  <c r="U132" i="2"/>
  <c r="V132" i="2" s="1"/>
  <c r="N132" i="2"/>
  <c r="U131" i="2"/>
  <c r="V131" i="2" s="1"/>
  <c r="N131" i="2"/>
  <c r="U130" i="2"/>
  <c r="V130" i="2" s="1"/>
  <c r="N130" i="2"/>
  <c r="N129" i="2"/>
  <c r="I129" i="2"/>
  <c r="U128" i="2"/>
  <c r="V128" i="2" s="1"/>
  <c r="N128" i="2"/>
  <c r="N127" i="2"/>
  <c r="I127" i="2"/>
  <c r="U127" i="2" s="1"/>
  <c r="V127" i="2" s="1"/>
  <c r="N126" i="2"/>
  <c r="I126" i="2"/>
  <c r="U126" i="2" s="1"/>
  <c r="V126" i="2" s="1"/>
  <c r="U125" i="2"/>
  <c r="V125" i="2" s="1"/>
  <c r="N125" i="2"/>
  <c r="U124" i="2"/>
  <c r="V124" i="2" s="1"/>
  <c r="N124" i="2"/>
  <c r="N123" i="2"/>
  <c r="I123" i="2"/>
  <c r="U123" i="2" s="1"/>
  <c r="V123" i="2" s="1"/>
  <c r="N122" i="2"/>
  <c r="I122" i="2"/>
  <c r="U122" i="2" s="1"/>
  <c r="V122" i="2" s="1"/>
  <c r="N121" i="2"/>
  <c r="I121" i="2"/>
  <c r="U121" i="2" s="1"/>
  <c r="V121" i="2" s="1"/>
  <c r="U120" i="2"/>
  <c r="V120" i="2" s="1"/>
  <c r="N120" i="2"/>
  <c r="N119" i="2"/>
  <c r="U119" i="2"/>
  <c r="V119" i="2" s="1"/>
  <c r="N118" i="2"/>
  <c r="I118" i="2"/>
  <c r="U118" i="2" s="1"/>
  <c r="V118" i="2" s="1"/>
  <c r="N117" i="2"/>
  <c r="I117" i="2"/>
  <c r="U117" i="2" s="1"/>
  <c r="V117" i="2" s="1"/>
  <c r="U116" i="2"/>
  <c r="V116" i="2" s="1"/>
  <c r="N116" i="2"/>
  <c r="U115" i="2"/>
  <c r="V115" i="2" s="1"/>
  <c r="N115" i="2"/>
  <c r="U114" i="2"/>
  <c r="V114" i="2" s="1"/>
  <c r="N114" i="2"/>
  <c r="U113" i="2"/>
  <c r="V113" i="2" s="1"/>
  <c r="N113" i="2"/>
  <c r="U112" i="2"/>
  <c r="V112" i="2" s="1"/>
  <c r="N112" i="2"/>
  <c r="U111" i="2"/>
  <c r="V111" i="2" s="1"/>
  <c r="N111" i="2"/>
  <c r="U110" i="2"/>
  <c r="V110" i="2" s="1"/>
  <c r="N110" i="2"/>
  <c r="U109" i="2"/>
  <c r="V109" i="2" s="1"/>
  <c r="N109" i="2"/>
  <c r="U108" i="2"/>
  <c r="V108" i="2" s="1"/>
  <c r="N108" i="2"/>
  <c r="N107" i="2"/>
  <c r="I107" i="2"/>
  <c r="U107" i="2" s="1"/>
  <c r="V107" i="2" s="1"/>
  <c r="U106" i="2"/>
  <c r="V106" i="2" s="1"/>
  <c r="N106" i="2"/>
  <c r="U105" i="2"/>
  <c r="V105" i="2" s="1"/>
  <c r="N105" i="2"/>
  <c r="U104" i="2"/>
  <c r="V104" i="2" s="1"/>
  <c r="N104" i="2"/>
  <c r="U103" i="2"/>
  <c r="V103" i="2" s="1"/>
  <c r="N103" i="2"/>
  <c r="U102" i="2"/>
  <c r="V102" i="2" s="1"/>
  <c r="N102" i="2"/>
  <c r="N101" i="2"/>
  <c r="I101" i="2"/>
  <c r="U101" i="2" s="1"/>
  <c r="V101" i="2" s="1"/>
  <c r="U100" i="2"/>
  <c r="V100" i="2" s="1"/>
  <c r="N100" i="2"/>
  <c r="U99" i="2"/>
  <c r="V99" i="2" s="1"/>
  <c r="N99" i="2"/>
  <c r="U98" i="2"/>
  <c r="V98" i="2" s="1"/>
  <c r="N98" i="2"/>
  <c r="U97" i="2"/>
  <c r="V97" i="2" s="1"/>
  <c r="N97" i="2"/>
  <c r="U96" i="2"/>
  <c r="V96" i="2" s="1"/>
  <c r="N96" i="2"/>
  <c r="U95" i="2"/>
  <c r="V95" i="2" s="1"/>
  <c r="N95" i="2"/>
  <c r="U94" i="2"/>
  <c r="V94" i="2" s="1"/>
  <c r="N94" i="2"/>
  <c r="I93" i="2"/>
  <c r="U93" i="2" s="1"/>
  <c r="V93" i="2" s="1"/>
  <c r="U92" i="2"/>
  <c r="V92" i="2" s="1"/>
  <c r="N92" i="2"/>
  <c r="U91" i="2"/>
  <c r="V91" i="2" s="1"/>
  <c r="N91" i="2"/>
  <c r="U90" i="2"/>
  <c r="V90" i="2" s="1"/>
  <c r="U89" i="2"/>
  <c r="V89" i="2" s="1"/>
  <c r="N88" i="2"/>
  <c r="U88" i="2"/>
  <c r="V88" i="2" s="1"/>
  <c r="U87" i="2"/>
  <c r="V87" i="2" s="1"/>
  <c r="N87" i="2"/>
  <c r="N86" i="2"/>
  <c r="I86" i="2"/>
  <c r="U86" i="2" s="1"/>
  <c r="V86" i="2" s="1"/>
  <c r="U85" i="2"/>
  <c r="V85" i="2" s="1"/>
  <c r="N85" i="2"/>
  <c r="N84" i="2"/>
  <c r="I84" i="2"/>
  <c r="U84" i="2" s="1"/>
  <c r="V84" i="2" s="1"/>
  <c r="U83" i="2"/>
  <c r="V83" i="2" s="1"/>
  <c r="N83" i="2"/>
  <c r="U82" i="2"/>
  <c r="V82" i="2" s="1"/>
  <c r="N82" i="2"/>
  <c r="U81" i="2"/>
  <c r="V81" i="2" s="1"/>
  <c r="N81" i="2"/>
  <c r="U80" i="2"/>
  <c r="V80" i="2" s="1"/>
  <c r="U79" i="2"/>
  <c r="V79" i="2" s="1"/>
  <c r="U78" i="2"/>
  <c r="V78" i="2" s="1"/>
  <c r="N78" i="2"/>
  <c r="N77" i="2"/>
  <c r="I77" i="2"/>
  <c r="U77" i="2" s="1"/>
  <c r="V77" i="2" s="1"/>
  <c r="U76" i="2"/>
  <c r="V76" i="2" s="1"/>
  <c r="N76" i="2"/>
  <c r="N75" i="2"/>
  <c r="I75" i="2"/>
  <c r="U75" i="2" s="1"/>
  <c r="V75" i="2" s="1"/>
  <c r="U74" i="2"/>
  <c r="V74" i="2" s="1"/>
  <c r="N74" i="2"/>
  <c r="U73" i="2"/>
  <c r="V73" i="2" s="1"/>
  <c r="N73" i="2"/>
  <c r="U72" i="2"/>
  <c r="V72" i="2" s="1"/>
  <c r="N72" i="2"/>
  <c r="I71" i="2"/>
  <c r="U71" i="2" s="1"/>
  <c r="V71" i="2" s="1"/>
  <c r="U70" i="2"/>
  <c r="V70" i="2" s="1"/>
  <c r="N70" i="2"/>
  <c r="U69" i="2"/>
  <c r="V69" i="2" s="1"/>
  <c r="N69" i="2"/>
  <c r="U68" i="2"/>
  <c r="V68" i="2" s="1"/>
  <c r="N68" i="2"/>
  <c r="I67" i="2"/>
  <c r="U67" i="2" s="1"/>
  <c r="V67" i="2" s="1"/>
  <c r="I66" i="2"/>
  <c r="U66" i="2" s="1"/>
  <c r="V66" i="2" s="1"/>
  <c r="I65" i="2"/>
  <c r="U65" i="2" s="1"/>
  <c r="V65" i="2" s="1"/>
  <c r="U64" i="2"/>
  <c r="V64" i="2" s="1"/>
  <c r="U63" i="2"/>
  <c r="V63" i="2" s="1"/>
  <c r="N63" i="2"/>
  <c r="U62" i="2"/>
  <c r="V62" i="2" s="1"/>
  <c r="N61" i="2"/>
  <c r="U61" i="2"/>
  <c r="V61" i="2" s="1"/>
  <c r="N60" i="2"/>
  <c r="I60" i="2"/>
  <c r="U60" i="2" s="1"/>
  <c r="V60" i="2" s="1"/>
  <c r="U59" i="2"/>
  <c r="V59" i="2" s="1"/>
  <c r="N59" i="2"/>
  <c r="N58" i="2"/>
  <c r="U57" i="2"/>
  <c r="V57" i="2" s="1"/>
  <c r="N55" i="2"/>
  <c r="U56" i="2"/>
  <c r="V56" i="2" s="1"/>
  <c r="U55" i="2"/>
  <c r="V55" i="2" s="1"/>
  <c r="U54" i="2"/>
  <c r="V54" i="2" s="1"/>
  <c r="U53" i="2"/>
  <c r="V53" i="2" s="1"/>
  <c r="N53" i="2"/>
  <c r="U52" i="2"/>
  <c r="V52" i="2" s="1"/>
  <c r="U51" i="2"/>
  <c r="V51" i="2" s="1"/>
  <c r="U50" i="2"/>
  <c r="V50" i="2" s="1"/>
  <c r="N50" i="2"/>
  <c r="U49" i="2"/>
  <c r="V49" i="2" s="1"/>
  <c r="N49" i="2"/>
  <c r="U48" i="2"/>
  <c r="V48" i="2" s="1"/>
  <c r="N48" i="2"/>
  <c r="U47" i="2"/>
  <c r="V47" i="2" s="1"/>
  <c r="N47" i="2"/>
  <c r="U46" i="2"/>
  <c r="V46" i="2" s="1"/>
  <c r="N46" i="2"/>
  <c r="N45" i="2"/>
  <c r="I45" i="2"/>
  <c r="U45" i="2" s="1"/>
  <c r="V45" i="2" s="1"/>
  <c r="U44" i="2"/>
  <c r="V44" i="2" s="1"/>
  <c r="N44" i="2"/>
  <c r="U43" i="2"/>
  <c r="V43" i="2" s="1"/>
  <c r="N43" i="2"/>
  <c r="U42" i="2"/>
  <c r="V42" i="2" s="1"/>
  <c r="N42" i="2"/>
  <c r="U41" i="2"/>
  <c r="V41" i="2" s="1"/>
  <c r="N41" i="2"/>
  <c r="U40" i="2"/>
  <c r="V40" i="2" s="1"/>
  <c r="N40" i="2"/>
  <c r="U39" i="2"/>
  <c r="V39" i="2" s="1"/>
  <c r="N39" i="2"/>
  <c r="U38" i="2"/>
  <c r="V38" i="2" s="1"/>
  <c r="U37" i="2"/>
  <c r="V37" i="2" s="1"/>
  <c r="N37" i="2"/>
  <c r="N36" i="2"/>
  <c r="U36" i="2"/>
  <c r="V36" i="2" s="1"/>
  <c r="N35" i="2"/>
  <c r="I35" i="2"/>
  <c r="U35" i="2" s="1"/>
  <c r="V35" i="2" s="1"/>
  <c r="U34" i="2"/>
  <c r="V34" i="2" s="1"/>
  <c r="N34" i="2"/>
  <c r="N33" i="2"/>
  <c r="U33" i="2"/>
  <c r="V33" i="2" s="1"/>
  <c r="N32" i="2"/>
  <c r="I32" i="2"/>
  <c r="U32" i="2" s="1"/>
  <c r="V32" i="2" s="1"/>
  <c r="U31" i="2"/>
  <c r="V31" i="2" s="1"/>
  <c r="N31" i="2"/>
  <c r="N30" i="2"/>
  <c r="I30" i="2"/>
  <c r="U30" i="2" s="1"/>
  <c r="V30" i="2" s="1"/>
  <c r="N29" i="2"/>
  <c r="I29" i="2"/>
  <c r="U29" i="2" s="1"/>
  <c r="V29" i="2" s="1"/>
  <c r="U28" i="2"/>
  <c r="V28" i="2" s="1"/>
  <c r="N28" i="2"/>
  <c r="U27" i="2"/>
  <c r="V27" i="2" s="1"/>
  <c r="N27" i="2"/>
  <c r="U26" i="2"/>
  <c r="V26" i="2" s="1"/>
  <c r="N26" i="2"/>
  <c r="U25" i="2"/>
  <c r="V25" i="2" s="1"/>
  <c r="N25" i="2"/>
  <c r="N24" i="2"/>
  <c r="I24" i="2"/>
  <c r="U23" i="2"/>
  <c r="V23" i="2" s="1"/>
  <c r="N23" i="2"/>
  <c r="U22" i="2"/>
  <c r="V22" i="2" s="1"/>
  <c r="N22" i="2"/>
  <c r="U21" i="2"/>
  <c r="V21" i="2" s="1"/>
  <c r="N21" i="2"/>
  <c r="U20" i="2"/>
  <c r="V20" i="2" s="1"/>
  <c r="N20" i="2"/>
  <c r="U19" i="2"/>
  <c r="V19" i="2" s="1"/>
  <c r="N19" i="2"/>
  <c r="U18" i="2"/>
  <c r="V18" i="2" s="1"/>
  <c r="N18" i="2"/>
  <c r="U17" i="2"/>
  <c r="V17" i="2" s="1"/>
  <c r="N17" i="2"/>
  <c r="U129" i="2" l="1"/>
  <c r="V129" i="2" s="1"/>
  <c r="U58" i="2"/>
  <c r="V58" i="2" s="1"/>
  <c r="I15" i="2"/>
  <c r="U24" i="2"/>
  <c r="V24" i="2" s="1"/>
  <c r="V47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ARTURO PEREZ DIAZ</author>
    <author>CLAUDIA MARCELA HERNANDEZ REYES</author>
    <author>CARLOS PEREZ</author>
    <author>Santiago Quevedo Hernandez</author>
    <author>SAIDA ANDREA GAITAN RUIZ</author>
  </authors>
  <commentList>
    <comment ref="I17" authorId="0" shapeId="0" xr:uid="{00000000-0006-0000-0000-000001000000}">
      <text>
        <r>
          <rPr>
            <b/>
            <sz val="9"/>
            <color indexed="81"/>
            <rFont val="Tahoma"/>
            <family val="2"/>
          </rPr>
          <t>CARLOS ARTURO PEREZ DIAZ:</t>
        </r>
        <r>
          <rPr>
            <sz val="9"/>
            <color indexed="81"/>
            <rFont val="Tahoma"/>
            <family val="2"/>
          </rPr>
          <t xml:space="preserve">
se modifica para cuadrar presupuesto</t>
        </r>
      </text>
    </comment>
    <comment ref="I18" authorId="0" shapeId="0" xr:uid="{00000000-0006-0000-0000-000002000000}">
      <text>
        <r>
          <rPr>
            <b/>
            <sz val="9"/>
            <color indexed="81"/>
            <rFont val="Tahoma"/>
            <family val="2"/>
          </rPr>
          <t>CARLOS ARTURO PEREZ DIAZ:</t>
        </r>
        <r>
          <rPr>
            <sz val="9"/>
            <color indexed="81"/>
            <rFont val="Tahoma"/>
            <family val="2"/>
          </rPr>
          <t xml:space="preserve">
se modifica para cuadrar presupuesto</t>
        </r>
      </text>
    </comment>
    <comment ref="I33" authorId="1" shapeId="0" xr:uid="{00000000-0006-0000-0000-000003000000}">
      <text>
        <r>
          <rPr>
            <b/>
            <sz val="9"/>
            <color indexed="81"/>
            <rFont val="Tahoma"/>
            <family val="2"/>
          </rPr>
          <t>CLAUDIA MARCELA HERNANDEZ REYES:</t>
        </r>
        <r>
          <rPr>
            <sz val="9"/>
            <color indexed="81"/>
            <rFont val="Tahoma"/>
            <family val="2"/>
          </rPr>
          <t xml:space="preserve">
Se realiza reducción para adicionar en el código 004 de caja menor MI 085</t>
        </r>
      </text>
    </comment>
    <comment ref="I34" authorId="2" shapeId="0" xr:uid="{00000000-0006-0000-0000-000004000000}">
      <text>
        <r>
          <rPr>
            <b/>
            <sz val="9"/>
            <color indexed="81"/>
            <rFont val="Tahoma"/>
            <family val="2"/>
          </rPr>
          <t>CARLOS PEREZ:</t>
        </r>
        <r>
          <rPr>
            <sz val="9"/>
            <color indexed="81"/>
            <rFont val="Tahoma"/>
            <family val="2"/>
          </rPr>
          <t xml:space="preserve">
</t>
        </r>
        <r>
          <rPr>
            <sz val="11"/>
            <color indexed="81"/>
            <rFont val="Tahoma"/>
            <family val="2"/>
          </rPr>
          <t>se modifica de acuerdo al presupuesto - se deje el valor programado en el PAA -- se realiza adición de 3 millones del código 003 - 
  MI85</t>
        </r>
      </text>
    </comment>
    <comment ref="I37" authorId="2" shapeId="0" xr:uid="{00000000-0006-0000-0000-000005000000}">
      <text>
        <r>
          <rPr>
            <b/>
            <sz val="14"/>
            <color indexed="81"/>
            <rFont val="Tahoma"/>
            <family val="2"/>
          </rPr>
          <t>CARLOS PEREZ:</t>
        </r>
        <r>
          <rPr>
            <sz val="14"/>
            <color indexed="81"/>
            <rFont val="Tahoma"/>
            <family val="2"/>
          </rPr>
          <t xml:space="preserve">
se modifica para cuadrar presupuesto - se deja el valor programado en el paa</t>
        </r>
      </text>
    </comment>
    <comment ref="I40" authorId="0" shapeId="0" xr:uid="{00000000-0006-0000-0000-000006000000}">
      <text>
        <r>
          <rPr>
            <b/>
            <sz val="9"/>
            <color indexed="81"/>
            <rFont val="Tahoma"/>
            <family val="2"/>
          </rPr>
          <t>CARLOS ARTURO PEREZ DIAZ:</t>
        </r>
        <r>
          <rPr>
            <sz val="9"/>
            <color indexed="81"/>
            <rFont val="Tahoma"/>
            <family val="2"/>
          </rPr>
          <t xml:space="preserve">
se modifica para cuadrar presupuesto - se dej el valor programado en el PAA auxiliar de salud</t>
        </r>
      </text>
    </comment>
    <comment ref="I48" authorId="3" shapeId="0" xr:uid="{00000000-0006-0000-0000-000007000000}">
      <text>
        <r>
          <rPr>
            <b/>
            <sz val="9"/>
            <color indexed="81"/>
            <rFont val="Tahoma"/>
            <family val="2"/>
          </rPr>
          <t>Santiago Quevedo Hernández:</t>
        </r>
        <r>
          <rPr>
            <sz val="9"/>
            <color indexed="81"/>
            <rFont val="Tahoma"/>
            <family val="2"/>
          </rPr>
          <t xml:space="preserve">
Se realizo reducción el 12-01-24 solicitada por la odp</t>
        </r>
      </text>
    </comment>
    <comment ref="N48" authorId="1" shapeId="0" xr:uid="{00000000-0006-0000-0000-000008000000}">
      <text>
        <r>
          <rPr>
            <b/>
            <sz val="9"/>
            <color indexed="81"/>
            <rFont val="Tahoma"/>
            <family val="2"/>
          </rPr>
          <t>CLAUDIA MARCELA HERNANDEZ REYES:</t>
        </r>
        <r>
          <rPr>
            <sz val="9"/>
            <color indexed="81"/>
            <rFont val="Tahoma"/>
            <family val="2"/>
          </rPr>
          <t xml:space="preserve">
Convención SINTRAUPN: Muerte de Familiares, Calamidad Doméstica, Guardería para los hijos, Educación Hijo, educación superior, Lentes y monturas, Cirugías correctivas, Salud para el núcleo familiar, Auxilio de Maternidad,  Auxilio por incapacidad médica y  Muerte de Trabajador </t>
        </r>
      </text>
    </comment>
    <comment ref="I50" authorId="0" shapeId="0" xr:uid="{00000000-0006-0000-0000-000009000000}">
      <text>
        <r>
          <rPr>
            <b/>
            <sz val="9"/>
            <color indexed="81"/>
            <rFont val="Tahoma"/>
            <family val="2"/>
          </rPr>
          <t>CARLOS ARTURO PEREZ DIAZ:</t>
        </r>
        <r>
          <rPr>
            <sz val="9"/>
            <color indexed="81"/>
            <rFont val="Tahoma"/>
            <family val="2"/>
          </rPr>
          <t xml:space="preserve">
se deja en 0 para cuadarr presupuesto con goobi</t>
        </r>
      </text>
    </comment>
    <comment ref="I51" authorId="2" shapeId="0" xr:uid="{00000000-0006-0000-0000-00000A000000}">
      <text>
        <r>
          <rPr>
            <b/>
            <sz val="9"/>
            <color indexed="81"/>
            <rFont val="Tahoma"/>
            <family val="2"/>
          </rPr>
          <t>CARLOS PEREZ:</t>
        </r>
        <r>
          <rPr>
            <sz val="9"/>
            <color indexed="81"/>
            <rFont val="Tahoma"/>
            <family val="2"/>
          </rPr>
          <t xml:space="preserve">
</t>
        </r>
        <r>
          <rPr>
            <sz val="14"/>
            <color indexed="81"/>
            <rFont val="Tahoma"/>
            <family val="2"/>
          </rPr>
          <t xml:space="preserve">
</t>
        </r>
      </text>
    </comment>
    <comment ref="I52" authorId="2" shapeId="0" xr:uid="{00000000-0006-0000-0000-00000B000000}">
      <text>
        <r>
          <rPr>
            <b/>
            <sz val="9"/>
            <color indexed="81"/>
            <rFont val="Tahoma"/>
            <family val="2"/>
          </rPr>
          <t>CARLOS PEREZ:</t>
        </r>
        <r>
          <rPr>
            <sz val="9"/>
            <color indexed="81"/>
            <rFont val="Tahoma"/>
            <family val="2"/>
          </rPr>
          <t xml:space="preserve">
se ajusta aquí valor de diferencia de $7,619,000 ya que no presenta cdp
</t>
        </r>
      </text>
    </comment>
    <comment ref="I56" authorId="1" shapeId="0" xr:uid="{00000000-0006-0000-0000-00000C000000}">
      <text>
        <r>
          <rPr>
            <b/>
            <sz val="9"/>
            <color indexed="81"/>
            <rFont val="Tahoma"/>
            <family val="2"/>
          </rPr>
          <t>CLAUDIA MARCELA HERNANDEZ REYES:</t>
        </r>
        <r>
          <rPr>
            <sz val="9"/>
            <color indexed="81"/>
            <rFont val="Tahoma"/>
            <family val="2"/>
          </rPr>
          <t xml:space="preserve">
se hace reducción 27540347 para crear otra linea No. FUN-221</t>
        </r>
      </text>
    </comment>
    <comment ref="I57" authorId="1" shapeId="0" xr:uid="{00000000-0006-0000-0000-00000D000000}">
      <text>
        <r>
          <rPr>
            <b/>
            <sz val="9"/>
            <color indexed="81"/>
            <rFont val="Tahoma"/>
            <family val="2"/>
          </rPr>
          <t>CLAUDIA MARCELA HERNANDEZ REYES:</t>
        </r>
        <r>
          <rPr>
            <sz val="9"/>
            <color indexed="81"/>
            <rFont val="Tahoma"/>
            <family val="2"/>
          </rPr>
          <t xml:space="preserve">
Se realiza reducción  para crear nuevo  FUN-221 valor 6395740</t>
        </r>
      </text>
    </comment>
    <comment ref="I58" authorId="1" shapeId="0" xr:uid="{00000000-0006-0000-0000-00000E000000}">
      <text>
        <r>
          <rPr>
            <b/>
            <sz val="9"/>
            <color indexed="81"/>
            <rFont val="Tahoma"/>
            <family val="2"/>
          </rPr>
          <t>CLAUDIA MARCELA HERNANDEZ REYES:</t>
        </r>
        <r>
          <rPr>
            <sz val="9"/>
            <color indexed="81"/>
            <rFont val="Tahoma"/>
            <family val="2"/>
          </rPr>
          <t xml:space="preserve">
Se realiza reducción  para crear nuevo  FUN-221 valor 42189369</t>
        </r>
      </text>
    </comment>
    <comment ref="T89" authorId="0" shapeId="0" xr:uid="{00000000-0006-0000-0000-00000F000000}">
      <text>
        <r>
          <rPr>
            <b/>
            <sz val="9"/>
            <color indexed="81"/>
            <rFont val="Tahoma"/>
            <family val="2"/>
          </rPr>
          <t>CARLOS ARTURO PEREZ DIAZ:</t>
        </r>
        <r>
          <rPr>
            <sz val="9"/>
            <color indexed="81"/>
            <rFont val="Tahoma"/>
            <family val="2"/>
          </rPr>
          <t xml:space="preserve">
determinar que corresponde a 20.01 y que a 21.20.01</t>
        </r>
      </text>
    </comment>
    <comment ref="T91" authorId="0" shapeId="0" xr:uid="{00000000-0006-0000-0000-000010000000}">
      <text>
        <r>
          <rPr>
            <b/>
            <sz val="9"/>
            <color indexed="81"/>
            <rFont val="Tahoma"/>
            <family val="2"/>
          </rPr>
          <t>CARLOS ARTURO PEREZ DIAZ:</t>
        </r>
        <r>
          <rPr>
            <sz val="9"/>
            <color indexed="81"/>
            <rFont val="Tahoma"/>
            <family val="2"/>
          </rPr>
          <t xml:space="preserve">
determinar que corresponde a 20.01 y que a 21.20.01</t>
        </r>
      </text>
    </comment>
    <comment ref="I105" authorId="4" shapeId="0" xr:uid="{00000000-0006-0000-0000-000011000000}">
      <text>
        <r>
          <rPr>
            <b/>
            <sz val="9"/>
            <color indexed="81"/>
            <rFont val="Tahoma"/>
            <family val="2"/>
          </rPr>
          <t>SAIDA ANDREA GAITAN RUIZ:</t>
        </r>
        <r>
          <rPr>
            <sz val="9"/>
            <color indexed="81"/>
            <rFont val="Tahoma"/>
            <family val="2"/>
          </rPr>
          <t xml:space="preserve">
se debe hacer mantenimiento en 2024 del CISA ???
</t>
        </r>
      </text>
    </comment>
    <comment ref="N131" authorId="1" shapeId="0" xr:uid="{00000000-0006-0000-0000-000012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2" authorId="1" shapeId="0" xr:uid="{00000000-0006-0000-0000-000013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3" authorId="1" shapeId="0" xr:uid="{00000000-0006-0000-0000-000014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4" authorId="1" shapeId="0" xr:uid="{00000000-0006-0000-0000-000015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5" authorId="1" shapeId="0" xr:uid="{00000000-0006-0000-0000-000016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6" authorId="1" shapeId="0" xr:uid="{00000000-0006-0000-0000-000017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7" authorId="1" shapeId="0" xr:uid="{00000000-0006-0000-0000-000018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8" authorId="1" shapeId="0" xr:uid="{00000000-0006-0000-0000-000019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9" authorId="1" shapeId="0" xr:uid="{00000000-0006-0000-0000-00001A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I143" authorId="2" shapeId="0" xr:uid="{00000000-0006-0000-0000-00001B000000}">
      <text>
        <r>
          <rPr>
            <b/>
            <sz val="9"/>
            <color indexed="81"/>
            <rFont val="Tahoma"/>
            <family val="2"/>
          </rPr>
          <t>CARLOS PEREZ:</t>
        </r>
        <r>
          <rPr>
            <sz val="9"/>
            <color indexed="81"/>
            <rFont val="Tahoma"/>
            <family val="2"/>
          </rPr>
          <t xml:space="preserve">
se modifica de acuerdo al presupuesto goobi
</t>
        </r>
      </text>
    </comment>
    <comment ref="I155" authorId="0" shapeId="0" xr:uid="{00000000-0006-0000-0000-00001C000000}">
      <text>
        <r>
          <rPr>
            <b/>
            <sz val="9"/>
            <color indexed="81"/>
            <rFont val="Tahoma"/>
            <family val="2"/>
          </rPr>
          <t>CARLOS ARTURO PEREZ DIAZ:</t>
        </r>
        <r>
          <rPr>
            <sz val="9"/>
            <color indexed="81"/>
            <rFont val="Tahoma"/>
            <family val="2"/>
          </rPr>
          <t xml:space="preserve">
se modifica para cuadar presupuesto</t>
        </r>
      </text>
    </comment>
    <comment ref="I156" authorId="0" shapeId="0" xr:uid="{00000000-0006-0000-0000-00001D000000}">
      <text>
        <r>
          <rPr>
            <b/>
            <sz val="9"/>
            <color indexed="81"/>
            <rFont val="Tahoma"/>
            <family val="2"/>
          </rPr>
          <t>CARLOS ARTURO PEREZ DIAZ:</t>
        </r>
        <r>
          <rPr>
            <sz val="9"/>
            <color indexed="81"/>
            <rFont val="Tahoma"/>
            <family val="2"/>
          </rPr>
          <t xml:space="preserve">
se modifica de acuerdo a presupuesto
</t>
        </r>
      </text>
    </comment>
    <comment ref="I189" authorId="2" shapeId="0" xr:uid="{00000000-0006-0000-0000-00001E000000}">
      <text>
        <r>
          <rPr>
            <b/>
            <sz val="9"/>
            <color indexed="81"/>
            <rFont val="Tahoma"/>
            <family val="2"/>
          </rPr>
          <t>CARLOS PEREZ:</t>
        </r>
        <r>
          <rPr>
            <sz val="9"/>
            <color indexed="81"/>
            <rFont val="Tahoma"/>
            <family val="2"/>
          </rPr>
          <t xml:space="preserve">
se adiciona para cuadrar con presupuesto goobi</t>
        </r>
      </text>
    </comment>
    <comment ref="I190" authorId="0" shapeId="0" xr:uid="{00000000-0006-0000-0000-00001F000000}">
      <text>
        <r>
          <rPr>
            <b/>
            <sz val="9"/>
            <color indexed="81"/>
            <rFont val="Tahoma"/>
            <family val="2"/>
          </rPr>
          <t>CARLOS ARTURO PEREZ DIAZ:</t>
        </r>
        <r>
          <rPr>
            <sz val="9"/>
            <color indexed="81"/>
            <rFont val="Tahoma"/>
            <family val="2"/>
          </rPr>
          <t xml:space="preserve">
se elimina para cuadrar presupuesto</t>
        </r>
      </text>
    </comment>
    <comment ref="I203" authorId="2" shapeId="0" xr:uid="{00000000-0006-0000-0000-000020000000}">
      <text>
        <r>
          <rPr>
            <b/>
            <sz val="9"/>
            <color indexed="81"/>
            <rFont val="Tahoma"/>
            <family val="2"/>
          </rPr>
          <t>CARLOS PEREZ:</t>
        </r>
        <r>
          <rPr>
            <sz val="9"/>
            <color indexed="81"/>
            <rFont val="Tahoma"/>
            <family val="2"/>
          </rPr>
          <t xml:space="preserve">
se modifica de acuerdo al presupuesto</t>
        </r>
      </text>
    </comment>
    <comment ref="I207" authorId="1" shapeId="0" xr:uid="{00000000-0006-0000-0000-000021000000}">
      <text>
        <r>
          <rPr>
            <b/>
            <sz val="9"/>
            <color indexed="81"/>
            <rFont val="Tahoma"/>
            <family val="2"/>
          </rPr>
          <t>CLAUDIA MARCELA HERNANDEZ REYES:</t>
        </r>
        <r>
          <rPr>
            <sz val="9"/>
            <color indexed="81"/>
            <rFont val="Tahoma"/>
            <family val="2"/>
          </rPr>
          <t xml:space="preserve">
</t>
        </r>
        <r>
          <rPr>
            <sz val="11"/>
            <color indexed="81"/>
            <rFont val="Tahoma"/>
            <family val="2"/>
          </rPr>
          <t>se realiza reducción de 12 millones y se crea el FUN-220</t>
        </r>
      </text>
    </comment>
    <comment ref="I223" authorId="1" shapeId="0" xr:uid="{00000000-0006-0000-0000-000022000000}">
      <text>
        <r>
          <rPr>
            <b/>
            <sz val="9"/>
            <color indexed="81"/>
            <rFont val="Tahoma"/>
            <family val="2"/>
          </rPr>
          <t>CLAUDIA MARCELA HERNANDEZ REYES:</t>
        </r>
        <r>
          <rPr>
            <sz val="9"/>
            <color indexed="81"/>
            <rFont val="Tahoma"/>
            <family val="2"/>
          </rPr>
          <t xml:space="preserve">
Mantenimiento bioclinico</t>
        </r>
      </text>
    </comment>
    <comment ref="I226" authorId="0" shapeId="0" xr:uid="{00000000-0006-0000-0000-000023000000}">
      <text>
        <r>
          <rPr>
            <b/>
            <sz val="9"/>
            <color indexed="81"/>
            <rFont val="Tahoma"/>
            <family val="2"/>
          </rPr>
          <t>CARLOS ARTURO PEREZ DIAZ:</t>
        </r>
        <r>
          <rPr>
            <sz val="9"/>
            <color indexed="81"/>
            <rFont val="Tahoma"/>
            <family val="2"/>
          </rPr>
          <t xml:space="preserve">
se modifica de acuerdo a presupuesto</t>
        </r>
      </text>
    </comment>
    <comment ref="I238" authorId="0" shapeId="0" xr:uid="{00000000-0006-0000-0000-000024000000}">
      <text>
        <r>
          <rPr>
            <b/>
            <sz val="9"/>
            <color indexed="81"/>
            <rFont val="Tahoma"/>
            <family val="2"/>
          </rPr>
          <t>CARLOS ARTURO PEREZ DIAZ:</t>
        </r>
        <r>
          <rPr>
            <sz val="9"/>
            <color indexed="81"/>
            <rFont val="Tahoma"/>
            <family val="2"/>
          </rPr>
          <t xml:space="preserve">
se modifica 1 peso para cuadar con presupuesto</t>
        </r>
      </text>
    </comment>
    <comment ref="T240" authorId="0" shapeId="0" xr:uid="{00000000-0006-0000-0000-000025000000}">
      <text>
        <r>
          <rPr>
            <b/>
            <sz val="9"/>
            <color indexed="81"/>
            <rFont val="Tahoma"/>
            <family val="2"/>
          </rPr>
          <t>CARLOS ARTURO PEREZ DIAZ:</t>
        </r>
        <r>
          <rPr>
            <sz val="9"/>
            <color indexed="81"/>
            <rFont val="Tahoma"/>
            <family val="2"/>
          </rPr>
          <t xml:space="preserve">
determinar que corresponde a 20.01 y que a 21.20.01</t>
        </r>
      </text>
    </comment>
    <comment ref="T242" authorId="0" shapeId="0" xr:uid="{00000000-0006-0000-0000-000026000000}">
      <text>
        <r>
          <rPr>
            <b/>
            <sz val="9"/>
            <color indexed="81"/>
            <rFont val="Tahoma"/>
            <family val="2"/>
          </rPr>
          <t>CARLOS ARTURO PEREZ DIAZ:</t>
        </r>
        <r>
          <rPr>
            <sz val="9"/>
            <color indexed="81"/>
            <rFont val="Tahoma"/>
            <family val="2"/>
          </rPr>
          <t xml:space="preserve">
determinar que corresponde a 20.01 y que a 21.20.01</t>
        </r>
      </text>
    </comment>
    <comment ref="T246" authorId="0" shapeId="0" xr:uid="{00000000-0006-0000-0000-000027000000}">
      <text>
        <r>
          <rPr>
            <b/>
            <sz val="9"/>
            <color indexed="81"/>
            <rFont val="Tahoma"/>
            <family val="2"/>
          </rPr>
          <t>CARLOS ARTURO PEREZ DIAZ:</t>
        </r>
        <r>
          <rPr>
            <sz val="9"/>
            <color indexed="81"/>
            <rFont val="Tahoma"/>
            <family val="2"/>
          </rPr>
          <t xml:space="preserve">
determinar que corresponde a 20.01 y que a 21.20.01</t>
        </r>
      </text>
    </comment>
    <comment ref="C251" authorId="4" shapeId="0" xr:uid="{00000000-0006-0000-0000-000028000000}">
      <text>
        <r>
          <rPr>
            <b/>
            <sz val="9"/>
            <color indexed="81"/>
            <rFont val="Tahoma"/>
            <family val="2"/>
          </rPr>
          <t>SAIDA ANDREA GAITAN RUIZ:</t>
        </r>
        <r>
          <rPr>
            <sz val="9"/>
            <color indexed="81"/>
            <rFont val="Tahoma"/>
            <family val="2"/>
          </rPr>
          <t xml:space="preserve">
REVISAR AUXILIAR LO RELACIONA COMO APOYO PSICOSOCIAL 
</t>
        </r>
      </text>
    </comment>
    <comment ref="D251" authorId="4" shapeId="0" xr:uid="{00000000-0006-0000-0000-000029000000}">
      <text>
        <r>
          <rPr>
            <b/>
            <sz val="9"/>
            <color indexed="81"/>
            <rFont val="Tahoma"/>
            <family val="2"/>
          </rPr>
          <t>SAIDA ANDREA GAITAN RUIZ:</t>
        </r>
        <r>
          <rPr>
            <sz val="9"/>
            <color indexed="81"/>
            <rFont val="Tahoma"/>
            <family val="2"/>
          </rPr>
          <t xml:space="preserve">
REVISAR AUXILIAR LO RELACIONA COMO APOYO PSICOSOCIAL 
</t>
        </r>
      </text>
    </comment>
    <comment ref="I252" authorId="0" shapeId="0" xr:uid="{00000000-0006-0000-0000-00002A000000}">
      <text>
        <r>
          <rPr>
            <b/>
            <sz val="9"/>
            <color indexed="81"/>
            <rFont val="Tahoma"/>
            <family val="2"/>
          </rPr>
          <t>CARLOS ARTURO PEREZ DIAZ:</t>
        </r>
        <r>
          <rPr>
            <sz val="9"/>
            <color indexed="81"/>
            <rFont val="Tahoma"/>
            <family val="2"/>
          </rPr>
          <t xml:space="preserve">
se modifica  para cuadrar presupuesto</t>
        </r>
      </text>
    </comment>
    <comment ref="I286" authorId="0" shapeId="0" xr:uid="{00000000-0006-0000-0000-00002B000000}">
      <text>
        <r>
          <rPr>
            <b/>
            <sz val="9"/>
            <color indexed="81"/>
            <rFont val="Tahoma"/>
            <family val="2"/>
          </rPr>
          <t>CARLOS ARTURO PEREZ DIAZ:</t>
        </r>
        <r>
          <rPr>
            <sz val="9"/>
            <color indexed="81"/>
            <rFont val="Tahoma"/>
            <family val="2"/>
          </rPr>
          <t xml:space="preserve">
se realizan los ajustes como esta en el paa fun 222</t>
        </r>
      </text>
    </comment>
    <comment ref="I287" authorId="1" shapeId="0" xr:uid="{00000000-0006-0000-0000-00002C000000}">
      <text>
        <r>
          <rPr>
            <b/>
            <sz val="9"/>
            <color indexed="81"/>
            <rFont val="Tahoma"/>
            <family val="2"/>
          </rPr>
          <t>CLAUDIA MARCELA HERNANDEZ REYES:</t>
        </r>
        <r>
          <rPr>
            <sz val="9"/>
            <color indexed="81"/>
            <rFont val="Tahoma"/>
            <family val="2"/>
          </rPr>
          <t xml:space="preserve">
fun 222</t>
        </r>
      </text>
    </comment>
    <comment ref="I288" authorId="1" shapeId="0" xr:uid="{00000000-0006-0000-0000-00002D000000}">
      <text>
        <r>
          <rPr>
            <b/>
            <sz val="9"/>
            <color indexed="81"/>
            <rFont val="Tahoma"/>
            <family val="2"/>
          </rPr>
          <t>CLAUDIA MARCELA HERNANDEZ REYES:</t>
        </r>
        <r>
          <rPr>
            <sz val="9"/>
            <color indexed="81"/>
            <rFont val="Tahoma"/>
            <family val="2"/>
          </rPr>
          <t xml:space="preserve">
fun 222</t>
        </r>
      </text>
    </comment>
    <comment ref="H297" authorId="0" shapeId="0" xr:uid="{00000000-0006-0000-0000-00002E000000}">
      <text>
        <r>
          <rPr>
            <b/>
            <sz val="9"/>
            <color indexed="81"/>
            <rFont val="Tahoma"/>
            <family val="2"/>
          </rPr>
          <t>CARLOS ARTURO PEREZ DIAZ:</t>
        </r>
        <r>
          <rPr>
            <sz val="9"/>
            <color indexed="81"/>
            <rFont val="Tahoma"/>
            <family val="2"/>
          </rPr>
          <t xml:space="preserve">
no se encontro, se solicita eliminar</t>
        </r>
      </text>
    </comment>
    <comment ref="I297" authorId="1" shapeId="0" xr:uid="{00000000-0006-0000-0000-00002F000000}">
      <text>
        <r>
          <rPr>
            <b/>
            <sz val="9"/>
            <color indexed="81"/>
            <rFont val="Tahoma"/>
            <family val="2"/>
          </rPr>
          <t>CLAUDIA MARCELA HERNANDEZ REYES:</t>
        </r>
        <r>
          <rPr>
            <sz val="9"/>
            <color indexed="81"/>
            <rFont val="Tahoma"/>
            <family val="2"/>
          </rPr>
          <t xml:space="preserve">
se crean lineas por recurso</t>
        </r>
      </text>
    </comment>
    <comment ref="H298" authorId="0" shapeId="0" xr:uid="{00000000-0006-0000-0000-000030000000}">
      <text>
        <r>
          <rPr>
            <b/>
            <sz val="9"/>
            <color indexed="81"/>
            <rFont val="Tahoma"/>
            <family val="2"/>
          </rPr>
          <t>CARLOS ARTURO PEREZ DIAZ:</t>
        </r>
        <r>
          <rPr>
            <sz val="9"/>
            <color indexed="81"/>
            <rFont val="Tahoma"/>
            <family val="2"/>
          </rPr>
          <t xml:space="preserve">
no se encontro, se solicita eliminar</t>
        </r>
      </text>
    </comment>
    <comment ref="I308" authorId="0" shapeId="0" xr:uid="{00000000-0006-0000-0000-000031000000}">
      <text>
        <r>
          <rPr>
            <b/>
            <sz val="9"/>
            <color indexed="81"/>
            <rFont val="Tahoma"/>
            <family val="2"/>
          </rPr>
          <t>CARLOS ARTURO PEREZ DIAZ:</t>
        </r>
        <r>
          <rPr>
            <sz val="9"/>
            <color indexed="81"/>
            <rFont val="Tahoma"/>
            <family val="2"/>
          </rPr>
          <t xml:space="preserve">
eliminar ya que no esta en el presupuesto goobi</t>
        </r>
      </text>
    </comment>
    <comment ref="T319" authorId="0" shapeId="0" xr:uid="{00000000-0006-0000-0000-000032000000}">
      <text>
        <r>
          <rPr>
            <b/>
            <sz val="9"/>
            <color indexed="81"/>
            <rFont val="Tahoma"/>
            <family val="2"/>
          </rPr>
          <t>CARLOS ARTURO PEREZ DIAZ:</t>
        </r>
        <r>
          <rPr>
            <sz val="9"/>
            <color indexed="81"/>
            <rFont val="Tahoma"/>
            <family val="2"/>
          </rPr>
          <t xml:space="preserve">
determinar que corresponde a 20.01 y que a 21.20.01</t>
        </r>
      </text>
    </comment>
    <comment ref="I325" authorId="2" shapeId="0" xr:uid="{00000000-0006-0000-0000-000033000000}">
      <text>
        <r>
          <rPr>
            <b/>
            <sz val="9"/>
            <color indexed="81"/>
            <rFont val="Tahoma"/>
            <family val="2"/>
          </rPr>
          <t>CARLOS PEREZ:</t>
        </r>
        <r>
          <rPr>
            <sz val="9"/>
            <color indexed="81"/>
            <rFont val="Tahoma"/>
            <family val="2"/>
          </rPr>
          <t xml:space="preserve">
se ajusta valor para cuadrar presupuesto</t>
        </r>
      </text>
    </comment>
    <comment ref="I353" authorId="1" shapeId="0" xr:uid="{00000000-0006-0000-0000-000034000000}">
      <text>
        <r>
          <rPr>
            <b/>
            <sz val="9"/>
            <color indexed="81"/>
            <rFont val="Tahoma"/>
            <family val="2"/>
          </rPr>
          <t>CLAUDIA MARCELA HERNANDEZ REYES:</t>
        </r>
        <r>
          <rPr>
            <sz val="9"/>
            <color indexed="81"/>
            <rFont val="Tahoma"/>
            <family val="2"/>
          </rPr>
          <t xml:space="preserve">
Mantenimiento bioclinico</t>
        </r>
      </text>
    </comment>
    <comment ref="I354" authorId="1" shapeId="0" xr:uid="{00000000-0006-0000-0000-000035000000}">
      <text>
        <r>
          <rPr>
            <b/>
            <sz val="9"/>
            <color indexed="81"/>
            <rFont val="Tahoma"/>
            <family val="2"/>
          </rPr>
          <t>CLAUDIA MARCELA HERNANDEZ REYES:</t>
        </r>
        <r>
          <rPr>
            <sz val="9"/>
            <color indexed="81"/>
            <rFont val="Tahoma"/>
            <family val="2"/>
          </rPr>
          <t xml:space="preserve">
Mantenimiento bioclinico</t>
        </r>
      </text>
    </comment>
    <comment ref="T368" authorId="0" shapeId="0" xr:uid="{00000000-0006-0000-0000-000036000000}">
      <text>
        <r>
          <rPr>
            <b/>
            <sz val="9"/>
            <color indexed="81"/>
            <rFont val="Tahoma"/>
            <family val="2"/>
          </rPr>
          <t>CARLOS ARTURO PEREZ DIAZ:</t>
        </r>
        <r>
          <rPr>
            <sz val="9"/>
            <color indexed="81"/>
            <rFont val="Tahoma"/>
            <family val="2"/>
          </rPr>
          <t xml:space="preserve">
determinar que corresponde a 20.01 y que a 21.20.01</t>
        </r>
      </text>
    </comment>
    <comment ref="V406" authorId="2" shapeId="0" xr:uid="{00000000-0006-0000-0000-000037000000}">
      <text>
        <r>
          <rPr>
            <b/>
            <sz val="9"/>
            <color indexed="81"/>
            <rFont val="Tahoma"/>
            <family val="2"/>
          </rPr>
          <t>CARLOS PEREZ:</t>
        </r>
        <r>
          <rPr>
            <sz val="9"/>
            <color indexed="81"/>
            <rFont val="Tahoma"/>
            <family val="2"/>
          </rPr>
          <t xml:space="preserve">
se corrigio ya que tenia otro valor
</t>
        </r>
      </text>
    </comment>
    <comment ref="T444" authorId="0" shapeId="0" xr:uid="{00000000-0006-0000-0000-000038000000}">
      <text>
        <r>
          <rPr>
            <b/>
            <sz val="9"/>
            <color indexed="81"/>
            <rFont val="Tahoma"/>
            <family val="2"/>
          </rPr>
          <t>CARLOS ARTURO PEREZ DIAZ:</t>
        </r>
        <r>
          <rPr>
            <sz val="9"/>
            <color indexed="81"/>
            <rFont val="Tahoma"/>
            <family val="2"/>
          </rPr>
          <t xml:space="preserve">
determinar que corresponde a 20.01 y que a 21.20.01</t>
        </r>
      </text>
    </comment>
    <comment ref="T470" authorId="0" shapeId="0" xr:uid="{00000000-0006-0000-0000-000039000000}">
      <text>
        <r>
          <rPr>
            <b/>
            <sz val="9"/>
            <color indexed="81"/>
            <rFont val="Tahoma"/>
            <family val="2"/>
          </rPr>
          <t>CARLOS ARTURO PEREZ DIAZ:</t>
        </r>
        <r>
          <rPr>
            <sz val="9"/>
            <color indexed="81"/>
            <rFont val="Tahoma"/>
            <family val="2"/>
          </rPr>
          <t xml:space="preserve">
determinar que corresponde a 20.01 y que a 21.20.01</t>
        </r>
      </text>
    </comment>
    <comment ref="H476" authorId="1" shapeId="0" xr:uid="{00000000-0006-0000-0000-00003A000000}">
      <text>
        <r>
          <rPr>
            <b/>
            <sz val="9"/>
            <color indexed="81"/>
            <rFont val="Tahoma"/>
            <family val="2"/>
          </rPr>
          <t>CLAUDIA MARCELA HERNANDEZ REYES:</t>
        </r>
        <r>
          <rPr>
            <sz val="9"/>
            <color indexed="81"/>
            <rFont val="Tahoma"/>
            <family val="2"/>
          </rPr>
          <t xml:space="preserve">
esta creado en la fila 213 ya existe y esta por valor de 2500000.</t>
        </r>
      </text>
    </comment>
    <comment ref="I476" authorId="2" shapeId="0" xr:uid="{00000000-0006-0000-0000-00003B000000}">
      <text>
        <r>
          <rPr>
            <b/>
            <sz val="9"/>
            <color indexed="81"/>
            <rFont val="Tahoma"/>
            <family val="2"/>
          </rPr>
          <t>CARLOS PEREZ:</t>
        </r>
        <r>
          <rPr>
            <sz val="9"/>
            <color indexed="81"/>
            <rFont val="Tahoma"/>
            <family val="2"/>
          </rPr>
          <t xml:space="preserve">
</t>
        </r>
        <r>
          <rPr>
            <sz val="14"/>
            <color indexed="81"/>
            <rFont val="Tahoma"/>
            <family val="2"/>
          </rPr>
          <t>se agrega para cuadrar presupuesto</t>
        </r>
      </text>
    </comment>
    <comment ref="H478" authorId="1" shapeId="0" xr:uid="{00000000-0006-0000-0000-00003C000000}">
      <text>
        <r>
          <rPr>
            <b/>
            <sz val="9"/>
            <color indexed="81"/>
            <rFont val="Tahoma"/>
            <family val="2"/>
          </rPr>
          <t>CLAUDIA MARCELA HERNANDEZ REYES:</t>
        </r>
        <r>
          <rPr>
            <sz val="9"/>
            <color indexed="81"/>
            <rFont val="Tahoma"/>
            <family val="2"/>
          </rPr>
          <t xml:space="preserve">
</t>
        </r>
        <r>
          <rPr>
            <sz val="11"/>
            <color indexed="81"/>
            <rFont val="Tahoma"/>
            <family val="2"/>
          </rPr>
          <t xml:space="preserve">no se identifica - el unico avacne que esta con este código es Amparar la compra de un aire acondicionado y sus accesorios para la refrigeración de los servidores 
ubicados en el Datacenter de la Universidad Pedagógica Nacional, para mantener los niveles adecuados de refrigeración de los equipos por valor en el paa de  2,500,000 y cdp 1985900 </t>
        </r>
      </text>
    </comment>
    <comment ref="I481" authorId="1" shapeId="0" xr:uid="{00000000-0006-0000-0000-00003D000000}">
      <text>
        <r>
          <rPr>
            <b/>
            <sz val="9"/>
            <color indexed="81"/>
            <rFont val="Tahoma"/>
            <family val="2"/>
          </rPr>
          <t>CLAUDIA MARCELA HERNANDEZ REYES:</t>
        </r>
        <r>
          <rPr>
            <sz val="9"/>
            <color indexed="81"/>
            <rFont val="Tahoma"/>
            <family val="2"/>
          </rPr>
          <t xml:space="preserve">
Se realiza creación de fila con nuevo objeto por valor de 12 millones trasladados del FUN-079</t>
        </r>
      </text>
    </comment>
    <comment ref="I482" authorId="1" shapeId="0" xr:uid="{00000000-0006-0000-0000-00003E000000}">
      <text>
        <r>
          <rPr>
            <b/>
            <sz val="9"/>
            <color indexed="81"/>
            <rFont val="Tahoma"/>
            <family val="2"/>
          </rPr>
          <t>CLAUDIA MARCELA HERNANDEZ REYES:</t>
        </r>
        <r>
          <rPr>
            <sz val="9"/>
            <color indexed="81"/>
            <rFont val="Tahoma"/>
            <family val="2"/>
          </rPr>
          <t xml:space="preserve">
Se realiza creación de fun, con adiones de los fun-004 y 005.</t>
        </r>
      </text>
    </comment>
    <comment ref="I483" authorId="1" shapeId="0" xr:uid="{00000000-0006-0000-0000-00003F000000}">
      <text>
        <r>
          <rPr>
            <b/>
            <sz val="9"/>
            <color indexed="81"/>
            <rFont val="Tahoma"/>
            <family val="2"/>
          </rPr>
          <t>CLAUDIA MARCELA HERNANDEZ REYES:</t>
        </r>
        <r>
          <rPr>
            <sz val="9"/>
            <color indexed="81"/>
            <rFont val="Tahoma"/>
            <family val="2"/>
          </rPr>
          <t xml:space="preserve">
reducción fun 122 y 123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 ARTURO PEREZ DIAZ</author>
    <author>CARLOS PEREZ</author>
    <author>Santiago Quevedo Hernandez</author>
    <author>SAIDA ANDREA GAITAN RUIZ</author>
    <author>CLAUDIA MARCELA HERNANDEZ REYES</author>
  </authors>
  <commentList>
    <comment ref="D3" authorId="0" shapeId="0" xr:uid="{00000000-0006-0000-0100-000001000000}">
      <text>
        <r>
          <rPr>
            <b/>
            <sz val="9"/>
            <color indexed="81"/>
            <rFont val="Tahoma"/>
            <family val="2"/>
          </rPr>
          <t>CARLOS ARTURO PEREZ DIAZ:</t>
        </r>
        <r>
          <rPr>
            <sz val="9"/>
            <color indexed="81"/>
            <rFont val="Tahoma"/>
            <family val="2"/>
          </rPr>
          <t xml:space="preserve">
se modifica para cuadrar presupuesto</t>
        </r>
      </text>
    </comment>
    <comment ref="D4" authorId="0" shapeId="0" xr:uid="{00000000-0006-0000-0100-000002000000}">
      <text>
        <r>
          <rPr>
            <b/>
            <sz val="9"/>
            <color indexed="81"/>
            <rFont val="Tahoma"/>
            <family val="2"/>
          </rPr>
          <t>CARLOS ARTURO PEREZ DIAZ:</t>
        </r>
        <r>
          <rPr>
            <sz val="9"/>
            <color indexed="81"/>
            <rFont val="Tahoma"/>
            <family val="2"/>
          </rPr>
          <t xml:space="preserve">
se modifica para cuadrar presupuesto</t>
        </r>
      </text>
    </comment>
    <comment ref="D20" authorId="1" shapeId="0" xr:uid="{00000000-0006-0000-0100-000003000000}">
      <text>
        <r>
          <rPr>
            <b/>
            <sz val="9"/>
            <color indexed="81"/>
            <rFont val="Tahoma"/>
            <family val="2"/>
          </rPr>
          <t>CARLOS PEREZ:</t>
        </r>
        <r>
          <rPr>
            <sz val="9"/>
            <color indexed="81"/>
            <rFont val="Tahoma"/>
            <family val="2"/>
          </rPr>
          <t xml:space="preserve">
se modifica de acuerdo al presupuesto</t>
        </r>
      </text>
    </comment>
    <comment ref="D23" authorId="1" shapeId="0" xr:uid="{00000000-0006-0000-0100-000004000000}">
      <text>
        <r>
          <rPr>
            <b/>
            <sz val="14"/>
            <color indexed="81"/>
            <rFont val="Tahoma"/>
            <family val="2"/>
          </rPr>
          <t>CARLOS PEREZ:</t>
        </r>
        <r>
          <rPr>
            <sz val="14"/>
            <color indexed="81"/>
            <rFont val="Tahoma"/>
            <family val="2"/>
          </rPr>
          <t xml:space="preserve">
se modifica para cuadrar presupuesto</t>
        </r>
      </text>
    </comment>
    <comment ref="D26" authorId="0" shapeId="0" xr:uid="{00000000-0006-0000-0100-000005000000}">
      <text>
        <r>
          <rPr>
            <b/>
            <sz val="9"/>
            <color indexed="81"/>
            <rFont val="Tahoma"/>
            <family val="2"/>
          </rPr>
          <t>CARLOS ARTURO PEREZ DIAZ:</t>
        </r>
        <r>
          <rPr>
            <sz val="9"/>
            <color indexed="81"/>
            <rFont val="Tahoma"/>
            <family val="2"/>
          </rPr>
          <t xml:space="preserve">
se modifica para cuadrar presupuesto</t>
        </r>
      </text>
    </comment>
    <comment ref="D34" authorId="2" shapeId="0" xr:uid="{00000000-0006-0000-0100-000006000000}">
      <text>
        <r>
          <rPr>
            <b/>
            <sz val="9"/>
            <color indexed="81"/>
            <rFont val="Tahoma"/>
            <family val="2"/>
          </rPr>
          <t>Santiago Quevedo Hernández:</t>
        </r>
        <r>
          <rPr>
            <sz val="9"/>
            <color indexed="81"/>
            <rFont val="Tahoma"/>
            <family val="2"/>
          </rPr>
          <t xml:space="preserve">
Se realizo reducción el 12-01-24 solicitada por la odp</t>
        </r>
      </text>
    </comment>
    <comment ref="G34" authorId="2" shapeId="0" xr:uid="{00000000-0006-0000-0100-000007000000}">
      <text>
        <r>
          <rPr>
            <b/>
            <sz val="9"/>
            <color indexed="81"/>
            <rFont val="Tahoma"/>
            <family val="2"/>
          </rPr>
          <t>Santiago Quevedo Hernández:</t>
        </r>
        <r>
          <rPr>
            <sz val="9"/>
            <color indexed="81"/>
            <rFont val="Tahoma"/>
            <family val="2"/>
          </rPr>
          <t xml:space="preserve">
Se realizo reducción el 12-01-24 solicitada por la odp</t>
        </r>
      </text>
    </comment>
    <comment ref="D36" authorId="0" shapeId="0" xr:uid="{00000000-0006-0000-0100-000008000000}">
      <text>
        <r>
          <rPr>
            <b/>
            <sz val="9"/>
            <color indexed="81"/>
            <rFont val="Tahoma"/>
            <family val="2"/>
          </rPr>
          <t>CARLOS ARTURO PEREZ DIAZ:</t>
        </r>
        <r>
          <rPr>
            <sz val="9"/>
            <color indexed="81"/>
            <rFont val="Tahoma"/>
            <family val="2"/>
          </rPr>
          <t xml:space="preserve">
se deja en 0 para cuadarr presupuesto con goobi</t>
        </r>
      </text>
    </comment>
    <comment ref="D37" authorId="1" shapeId="0" xr:uid="{00000000-0006-0000-0100-000009000000}">
      <text>
        <r>
          <rPr>
            <b/>
            <sz val="9"/>
            <color indexed="81"/>
            <rFont val="Tahoma"/>
            <family val="2"/>
          </rPr>
          <t>CARLOS PEREZ:</t>
        </r>
        <r>
          <rPr>
            <sz val="9"/>
            <color indexed="81"/>
            <rFont val="Tahoma"/>
            <family val="2"/>
          </rPr>
          <t xml:space="preserve">
</t>
        </r>
        <r>
          <rPr>
            <sz val="14"/>
            <color indexed="81"/>
            <rFont val="Tahoma"/>
            <family val="2"/>
          </rPr>
          <t xml:space="preserve">
</t>
        </r>
      </text>
    </comment>
    <comment ref="D38" authorId="1" shapeId="0" xr:uid="{00000000-0006-0000-0100-00000A000000}">
      <text>
        <r>
          <rPr>
            <b/>
            <sz val="9"/>
            <color indexed="81"/>
            <rFont val="Tahoma"/>
            <family val="2"/>
          </rPr>
          <t>CARLOS PEREZ:</t>
        </r>
        <r>
          <rPr>
            <sz val="9"/>
            <color indexed="81"/>
            <rFont val="Tahoma"/>
            <family val="2"/>
          </rPr>
          <t xml:space="preserve">
se ajusta aquí valor de diferencia de $7,619,000 ya que no presenta cdp
</t>
        </r>
      </text>
    </comment>
    <comment ref="D77" authorId="0" shapeId="0" xr:uid="{00000000-0006-0000-0100-00000B000000}">
      <text>
        <r>
          <rPr>
            <b/>
            <sz val="9"/>
            <color indexed="81"/>
            <rFont val="Tahoma"/>
            <family val="2"/>
          </rPr>
          <t>CARLOS ARTURO PEREZ DIAZ:</t>
        </r>
        <r>
          <rPr>
            <sz val="9"/>
            <color indexed="81"/>
            <rFont val="Tahoma"/>
            <family val="2"/>
          </rPr>
          <t xml:space="preserve">
revisar ya que no se tramito nunca y estabecer fuente de recursos</t>
        </r>
      </text>
    </comment>
    <comment ref="D91" authorId="3" shapeId="0" xr:uid="{00000000-0006-0000-0100-00000C000000}">
      <text>
        <r>
          <rPr>
            <b/>
            <sz val="9"/>
            <color indexed="81"/>
            <rFont val="Tahoma"/>
            <family val="2"/>
          </rPr>
          <t>SAIDA ANDREA GAITAN RUIZ:</t>
        </r>
        <r>
          <rPr>
            <sz val="9"/>
            <color indexed="81"/>
            <rFont val="Tahoma"/>
            <family val="2"/>
          </rPr>
          <t xml:space="preserve">
se debe hacer mantenimiento en 2024 del CISA ???
</t>
        </r>
      </text>
    </comment>
    <comment ref="G91" authorId="3" shapeId="0" xr:uid="{00000000-0006-0000-0100-00000D000000}">
      <text>
        <r>
          <rPr>
            <b/>
            <sz val="9"/>
            <color indexed="81"/>
            <rFont val="Tahoma"/>
            <family val="2"/>
          </rPr>
          <t>SAIDA ANDREA GAITAN RUIZ:</t>
        </r>
        <r>
          <rPr>
            <sz val="9"/>
            <color indexed="81"/>
            <rFont val="Tahoma"/>
            <family val="2"/>
          </rPr>
          <t xml:space="preserve">
se debe hacer mantenimiento en 2024 del CISA ???
</t>
        </r>
      </text>
    </comment>
    <comment ref="D128" authorId="1" shapeId="0" xr:uid="{00000000-0006-0000-0100-00000E000000}">
      <text>
        <r>
          <rPr>
            <b/>
            <sz val="9"/>
            <color indexed="81"/>
            <rFont val="Tahoma"/>
            <family val="2"/>
          </rPr>
          <t>CARLOS PEREZ:</t>
        </r>
        <r>
          <rPr>
            <sz val="9"/>
            <color indexed="81"/>
            <rFont val="Tahoma"/>
            <family val="2"/>
          </rPr>
          <t xml:space="preserve">
se modifica de acuerdo al presupuesto goobi
</t>
        </r>
      </text>
    </comment>
    <comment ref="D135" authorId="1" shapeId="0" xr:uid="{00000000-0006-0000-0100-00000F000000}">
      <text>
        <r>
          <rPr>
            <b/>
            <sz val="9"/>
            <color indexed="81"/>
            <rFont val="Tahoma"/>
            <family val="2"/>
          </rPr>
          <t>CARLOS PEREZ:</t>
        </r>
        <r>
          <rPr>
            <sz val="9"/>
            <color indexed="81"/>
            <rFont val="Tahoma"/>
            <family val="2"/>
          </rPr>
          <t xml:space="preserve">
se modifica de acuerdo al presupuesto goobi</t>
        </r>
      </text>
    </comment>
    <comment ref="D138" authorId="0" shapeId="0" xr:uid="{00000000-0006-0000-0100-000010000000}">
      <text>
        <r>
          <rPr>
            <b/>
            <sz val="9"/>
            <color indexed="81"/>
            <rFont val="Tahoma"/>
            <family val="2"/>
          </rPr>
          <t>CARLOS ARTURO PEREZ DIAZ:</t>
        </r>
        <r>
          <rPr>
            <sz val="9"/>
            <color indexed="81"/>
            <rFont val="Tahoma"/>
            <family val="2"/>
          </rPr>
          <t xml:space="preserve">
se modifica para cuadar presupuesto</t>
        </r>
      </text>
    </comment>
    <comment ref="D139" authorId="0" shapeId="0" xr:uid="{00000000-0006-0000-0100-000011000000}">
      <text>
        <r>
          <rPr>
            <b/>
            <sz val="9"/>
            <color indexed="81"/>
            <rFont val="Tahoma"/>
            <family val="2"/>
          </rPr>
          <t>CARLOS ARTURO PEREZ DIAZ:</t>
        </r>
        <r>
          <rPr>
            <sz val="9"/>
            <color indexed="81"/>
            <rFont val="Tahoma"/>
            <family val="2"/>
          </rPr>
          <t xml:space="preserve">
se modifica de acuerdo a presupuesto
</t>
        </r>
      </text>
    </comment>
    <comment ref="D172" authorId="1" shapeId="0" xr:uid="{00000000-0006-0000-0100-000012000000}">
      <text>
        <r>
          <rPr>
            <b/>
            <sz val="9"/>
            <color indexed="81"/>
            <rFont val="Tahoma"/>
            <family val="2"/>
          </rPr>
          <t>CARLOS PEREZ:</t>
        </r>
        <r>
          <rPr>
            <sz val="9"/>
            <color indexed="81"/>
            <rFont val="Tahoma"/>
            <family val="2"/>
          </rPr>
          <t xml:space="preserve">
se adiciona para cuadrar con presupuesto goobi</t>
        </r>
      </text>
    </comment>
    <comment ref="D173" authorId="0" shapeId="0" xr:uid="{00000000-0006-0000-0100-000013000000}">
      <text>
        <r>
          <rPr>
            <b/>
            <sz val="9"/>
            <color indexed="81"/>
            <rFont val="Tahoma"/>
            <family val="2"/>
          </rPr>
          <t>CARLOS ARTURO PEREZ DIAZ:</t>
        </r>
        <r>
          <rPr>
            <sz val="9"/>
            <color indexed="81"/>
            <rFont val="Tahoma"/>
            <family val="2"/>
          </rPr>
          <t xml:space="preserve">
se elimina para cuadrar presupuesto</t>
        </r>
      </text>
    </comment>
    <comment ref="D186" authorId="1" shapeId="0" xr:uid="{00000000-0006-0000-0100-000014000000}">
      <text>
        <r>
          <rPr>
            <b/>
            <sz val="9"/>
            <color indexed="81"/>
            <rFont val="Tahoma"/>
            <family val="2"/>
          </rPr>
          <t>CARLOS PEREZ:</t>
        </r>
        <r>
          <rPr>
            <sz val="9"/>
            <color indexed="81"/>
            <rFont val="Tahoma"/>
            <family val="2"/>
          </rPr>
          <t xml:space="preserve">
se modifica de acuerdo al presupuesto</t>
        </r>
      </text>
    </comment>
    <comment ref="D206" authorId="4" shapeId="0" xr:uid="{00000000-0006-0000-0100-000015000000}">
      <text>
        <r>
          <rPr>
            <b/>
            <sz val="9"/>
            <color indexed="81"/>
            <rFont val="Tahoma"/>
            <family val="2"/>
          </rPr>
          <t>CLAUDIA MARCELA HERNANDEZ REYES:</t>
        </r>
        <r>
          <rPr>
            <sz val="9"/>
            <color indexed="81"/>
            <rFont val="Tahoma"/>
            <family val="2"/>
          </rPr>
          <t xml:space="preserve">
Mantenimiento bioclinico</t>
        </r>
      </text>
    </comment>
    <comment ref="G206" authorId="4" shapeId="0" xr:uid="{00000000-0006-0000-0100-000016000000}">
      <text>
        <r>
          <rPr>
            <b/>
            <sz val="9"/>
            <color indexed="81"/>
            <rFont val="Tahoma"/>
            <family val="2"/>
          </rPr>
          <t>CLAUDIA MARCELA HERNANDEZ REYES:</t>
        </r>
        <r>
          <rPr>
            <sz val="9"/>
            <color indexed="81"/>
            <rFont val="Tahoma"/>
            <family val="2"/>
          </rPr>
          <t xml:space="preserve">
Mantenimiento bioclinico</t>
        </r>
      </text>
    </comment>
    <comment ref="D209" authorId="0" shapeId="0" xr:uid="{00000000-0006-0000-0100-000017000000}">
      <text>
        <r>
          <rPr>
            <b/>
            <sz val="9"/>
            <color indexed="81"/>
            <rFont val="Tahoma"/>
            <family val="2"/>
          </rPr>
          <t>CARLOS ARTURO PEREZ DIAZ:</t>
        </r>
        <r>
          <rPr>
            <sz val="9"/>
            <color indexed="81"/>
            <rFont val="Tahoma"/>
            <family val="2"/>
          </rPr>
          <t xml:space="preserve">
se modifica de acuerdo a presupuesto</t>
        </r>
      </text>
    </comment>
    <comment ref="D221" authorId="0" shapeId="0" xr:uid="{00000000-0006-0000-0100-000018000000}">
      <text>
        <r>
          <rPr>
            <b/>
            <sz val="9"/>
            <color indexed="81"/>
            <rFont val="Tahoma"/>
            <family val="2"/>
          </rPr>
          <t>CARLOS ARTURO PEREZ DIAZ:</t>
        </r>
        <r>
          <rPr>
            <sz val="9"/>
            <color indexed="81"/>
            <rFont val="Tahoma"/>
            <family val="2"/>
          </rPr>
          <t xml:space="preserve">
se modifica 1 peso para cuadar con presupuesto</t>
        </r>
      </text>
    </comment>
    <comment ref="D235" authorId="0" shapeId="0" xr:uid="{00000000-0006-0000-0100-000019000000}">
      <text>
        <r>
          <rPr>
            <b/>
            <sz val="9"/>
            <color indexed="81"/>
            <rFont val="Tahoma"/>
            <family val="2"/>
          </rPr>
          <t>CARLOS ARTURO PEREZ DIAZ:</t>
        </r>
        <r>
          <rPr>
            <sz val="9"/>
            <color indexed="81"/>
            <rFont val="Tahoma"/>
            <family val="2"/>
          </rPr>
          <t xml:space="preserve">
se modifica  para cuadrar presupuesto</t>
        </r>
      </text>
    </comment>
    <comment ref="D270" authorId="0" shapeId="0" xr:uid="{00000000-0006-0000-0100-00001A000000}">
      <text>
        <r>
          <rPr>
            <b/>
            <sz val="9"/>
            <color indexed="81"/>
            <rFont val="Tahoma"/>
            <family val="2"/>
          </rPr>
          <t>CARLOS ARTURO PEREZ DIAZ:</t>
        </r>
        <r>
          <rPr>
            <sz val="9"/>
            <color indexed="81"/>
            <rFont val="Tahoma"/>
            <family val="2"/>
          </rPr>
          <t xml:space="preserve">
se ajusta para cuadrar presupuesto</t>
        </r>
      </text>
    </comment>
    <comment ref="D292" authorId="0" shapeId="0" xr:uid="{00000000-0006-0000-0100-00001B000000}">
      <text>
        <r>
          <rPr>
            <b/>
            <sz val="9"/>
            <color indexed="81"/>
            <rFont val="Tahoma"/>
            <family val="2"/>
          </rPr>
          <t>CARLOS ARTURO PEREZ DIAZ:</t>
        </r>
        <r>
          <rPr>
            <sz val="9"/>
            <color indexed="81"/>
            <rFont val="Tahoma"/>
            <family val="2"/>
          </rPr>
          <t xml:space="preserve">
eliminar ya que no esta en el presupuesto goobi</t>
        </r>
      </text>
    </comment>
    <comment ref="D295" authorId="0" shapeId="0" xr:uid="{00000000-0006-0000-0100-00001C000000}">
      <text>
        <r>
          <rPr>
            <b/>
            <sz val="9"/>
            <color indexed="81"/>
            <rFont val="Tahoma"/>
            <family val="2"/>
          </rPr>
          <t>CARLOS ARTURO PEREZ DIAZ:</t>
        </r>
        <r>
          <rPr>
            <sz val="9"/>
            <color indexed="81"/>
            <rFont val="Tahoma"/>
            <family val="2"/>
          </rPr>
          <t xml:space="preserve">
eliminar ya que no tiene espacio en el presupuesto goobi</t>
        </r>
      </text>
    </comment>
    <comment ref="D309" authorId="1" shapeId="0" xr:uid="{00000000-0006-0000-0100-00001D000000}">
      <text>
        <r>
          <rPr>
            <b/>
            <sz val="9"/>
            <color indexed="81"/>
            <rFont val="Tahoma"/>
            <family val="2"/>
          </rPr>
          <t>CARLOS PEREZ:</t>
        </r>
        <r>
          <rPr>
            <sz val="9"/>
            <color indexed="81"/>
            <rFont val="Tahoma"/>
            <family val="2"/>
          </rPr>
          <t xml:space="preserve">
se ajusta valor para cuadrar presupuesto</t>
        </r>
      </text>
    </comment>
    <comment ref="D337" authorId="4" shapeId="0" xr:uid="{00000000-0006-0000-0100-00001E000000}">
      <text>
        <r>
          <rPr>
            <b/>
            <sz val="9"/>
            <color indexed="81"/>
            <rFont val="Tahoma"/>
            <family val="2"/>
          </rPr>
          <t>CLAUDIA MARCELA HERNANDEZ REYES:</t>
        </r>
        <r>
          <rPr>
            <sz val="9"/>
            <color indexed="81"/>
            <rFont val="Tahoma"/>
            <family val="2"/>
          </rPr>
          <t xml:space="preserve">
Mantenimiento bioclinico</t>
        </r>
      </text>
    </comment>
    <comment ref="G337" authorId="4" shapeId="0" xr:uid="{00000000-0006-0000-0100-00001F000000}">
      <text>
        <r>
          <rPr>
            <b/>
            <sz val="9"/>
            <color indexed="81"/>
            <rFont val="Tahoma"/>
            <family val="2"/>
          </rPr>
          <t>CLAUDIA MARCELA HERNANDEZ REYES:</t>
        </r>
        <r>
          <rPr>
            <sz val="9"/>
            <color indexed="81"/>
            <rFont val="Tahoma"/>
            <family val="2"/>
          </rPr>
          <t xml:space="preserve">
Mantenimiento bioclinico</t>
        </r>
      </text>
    </comment>
    <comment ref="D338" authorId="4" shapeId="0" xr:uid="{00000000-0006-0000-0100-000020000000}">
      <text>
        <r>
          <rPr>
            <b/>
            <sz val="9"/>
            <color indexed="81"/>
            <rFont val="Tahoma"/>
            <family val="2"/>
          </rPr>
          <t>CLAUDIA MARCELA HERNANDEZ REYES:</t>
        </r>
        <r>
          <rPr>
            <sz val="9"/>
            <color indexed="81"/>
            <rFont val="Tahoma"/>
            <family val="2"/>
          </rPr>
          <t xml:space="preserve">
Mantenimiento bioclinico</t>
        </r>
      </text>
    </comment>
    <comment ref="G338" authorId="4" shapeId="0" xr:uid="{00000000-0006-0000-0100-000021000000}">
      <text>
        <r>
          <rPr>
            <b/>
            <sz val="9"/>
            <color indexed="81"/>
            <rFont val="Tahoma"/>
            <family val="2"/>
          </rPr>
          <t>CLAUDIA MARCELA HERNANDEZ REYES:</t>
        </r>
        <r>
          <rPr>
            <sz val="9"/>
            <color indexed="81"/>
            <rFont val="Tahoma"/>
            <family val="2"/>
          </rPr>
          <t xml:space="preserve">
Mantenimiento bioclinico</t>
        </r>
      </text>
    </comment>
    <comment ref="D464" authorId="1" shapeId="0" xr:uid="{00000000-0006-0000-0100-000022000000}">
      <text>
        <r>
          <rPr>
            <b/>
            <sz val="9"/>
            <color indexed="81"/>
            <rFont val="Tahoma"/>
            <family val="2"/>
          </rPr>
          <t>CARLOS PEREZ:</t>
        </r>
        <r>
          <rPr>
            <sz val="9"/>
            <color indexed="81"/>
            <rFont val="Tahoma"/>
            <family val="2"/>
          </rPr>
          <t xml:space="preserve">
</t>
        </r>
        <r>
          <rPr>
            <sz val="14"/>
            <color indexed="81"/>
            <rFont val="Tahoma"/>
            <family val="2"/>
          </rPr>
          <t>se agrega para cuadrar presupuesto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CARLOS PEREZ</author>
    <author>CARLOS ARTURO PEREZ DIAZ</author>
  </authors>
  <commentList>
    <comment ref="D4" authorId="0" shapeId="0" xr:uid="{00000000-0006-0000-0200-000001000000}">
      <text>
        <r>
          <rPr>
            <b/>
            <sz val="9"/>
            <color indexed="81"/>
            <rFont val="Tahoma"/>
            <family val="2"/>
          </rPr>
          <t>CARLOS PEREZ:</t>
        </r>
        <r>
          <rPr>
            <sz val="9"/>
            <color indexed="81"/>
            <rFont val="Tahoma"/>
            <family val="2"/>
          </rPr>
          <t xml:space="preserve">
se adiciona para cuadrar con presupuesto goobi</t>
        </r>
      </text>
    </comment>
    <comment ref="D5" authorId="1" shapeId="0" xr:uid="{00000000-0006-0000-0200-000002000000}">
      <text>
        <r>
          <rPr>
            <b/>
            <sz val="9"/>
            <color indexed="81"/>
            <rFont val="Tahoma"/>
            <family val="2"/>
          </rPr>
          <t>CARLOS ARTURO PEREZ DIAZ:</t>
        </r>
        <r>
          <rPr>
            <sz val="9"/>
            <color indexed="81"/>
            <rFont val="Tahoma"/>
            <family val="2"/>
          </rPr>
          <t xml:space="preserve">
se elimina para cuadrar presupuesto</t>
        </r>
      </text>
    </comment>
    <comment ref="D7" authorId="0" shapeId="0" xr:uid="{00000000-0006-0000-0200-000003000000}">
      <text>
        <r>
          <rPr>
            <b/>
            <sz val="9"/>
            <color indexed="81"/>
            <rFont val="Tahoma"/>
            <family val="2"/>
          </rPr>
          <t>CARLOS PEREZ:</t>
        </r>
        <r>
          <rPr>
            <sz val="9"/>
            <color indexed="81"/>
            <rFont val="Tahoma"/>
            <family val="2"/>
          </rPr>
          <t xml:space="preserve">
se ajusta valor para cuadrar presupuesto</t>
        </r>
      </text>
    </comment>
    <comment ref="D11" authorId="0" shapeId="0" xr:uid="{00000000-0006-0000-0200-000004000000}">
      <text>
        <r>
          <rPr>
            <b/>
            <sz val="9"/>
            <color indexed="81"/>
            <rFont val="Tahoma"/>
            <family val="2"/>
          </rPr>
          <t>CARLOS PEREZ:</t>
        </r>
        <r>
          <rPr>
            <sz val="9"/>
            <color indexed="81"/>
            <rFont val="Tahoma"/>
            <family val="2"/>
          </rPr>
          <t xml:space="preserve">
</t>
        </r>
        <r>
          <rPr>
            <sz val="14"/>
            <color indexed="81"/>
            <rFont val="Tahoma"/>
            <family val="2"/>
          </rPr>
          <t>se agrega para cuadrar presupuesto</t>
        </r>
      </text>
    </comment>
  </commentList>
</comments>
</file>

<file path=xl/sharedStrings.xml><?xml version="1.0" encoding="utf-8"?>
<sst xmlns="http://schemas.openxmlformats.org/spreadsheetml/2006/main" count="14890" uniqueCount="1236">
  <si>
    <t xml:space="preserve"> PLAN ANUAL DE ADQUISICIONES VIGENCIA 2024</t>
  </si>
  <si>
    <t xml:space="preserve">UNIVERSIDAD PEDAGÓGICA NACIONAL </t>
  </si>
  <si>
    <t>NIT 899999124-4</t>
  </si>
  <si>
    <t>Dirección: Calle  72 #11-86</t>
  </si>
  <si>
    <t>Teléfono: 5941894</t>
  </si>
  <si>
    <t>Página Web: www.pedagogica.edu.co</t>
  </si>
  <si>
    <t>CARACTERIZACION POBLACIONES</t>
  </si>
  <si>
    <t>TRAZADOR EQUIDAD DE GENERO</t>
  </si>
  <si>
    <t>CENTRO RESPONSABILIDAD</t>
  </si>
  <si>
    <t>CENTRO DE COSTOS</t>
  </si>
  <si>
    <t>ÁREA</t>
  </si>
  <si>
    <t>Código Completo</t>
  </si>
  <si>
    <t>CONCEPTO</t>
  </si>
  <si>
    <t>DESCRIPCIÓN</t>
  </si>
  <si>
    <t>PRESUPUESTO 2024</t>
  </si>
  <si>
    <t>Incluir en el PAA SECOP</t>
  </si>
  <si>
    <t>Modificaciones</t>
  </si>
  <si>
    <t>ITEM SECOP</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</si>
  <si>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</si>
  <si>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</si>
  <si>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</si>
  <si>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</si>
  <si>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</si>
  <si>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</si>
  <si>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</si>
  <si>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</si>
  <si>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</si>
  <si>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</si>
  <si>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</si>
  <si>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</si>
  <si>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</si>
  <si>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</si>
  <si>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</si>
  <si>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</si>
  <si>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</si>
  <si>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</si>
  <si>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</si>
  <si>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</si>
  <si>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</si>
  <si>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</si>
  <si>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</si>
  <si>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Subcategoría</t>
  </si>
  <si>
    <t>VICERRECTORÍA ADMINISTRATIVA Y FINANCIERA</t>
  </si>
  <si>
    <t>1310 GASTOS DE PERSONAL</t>
  </si>
  <si>
    <t xml:space="preserve">Subdirección de Servicios Generales </t>
  </si>
  <si>
    <t>2.1.1.01.01.001.10</t>
  </si>
  <si>
    <t>Viáticos de los funcionarios en comisión</t>
  </si>
  <si>
    <t>Gastos por Caja Menor</t>
  </si>
  <si>
    <t>No</t>
  </si>
  <si>
    <t>COMISIÓN</t>
  </si>
  <si>
    <t>No  Aplica</t>
  </si>
  <si>
    <t>Meses</t>
  </si>
  <si>
    <t>CCE-11||04</t>
  </si>
  <si>
    <t>20.01</t>
  </si>
  <si>
    <t>NO</t>
  </si>
  <si>
    <t>NA</t>
  </si>
  <si>
    <t>GRUPO DE CONTRATACION UNIVERSIDAD PEDAGOGICA NACIONAL</t>
  </si>
  <si>
    <t>CO-DC</t>
  </si>
  <si>
    <t>601 5941894</t>
  </si>
  <si>
    <t>contratacion@pedagogica.edu.co</t>
  </si>
  <si>
    <t>SI</t>
  </si>
  <si>
    <t>Directo</t>
  </si>
  <si>
    <t>Todas</t>
  </si>
  <si>
    <t>Todos</t>
  </si>
  <si>
    <t>No Aplica</t>
  </si>
  <si>
    <t>2.1.1.02.01.001.10</t>
  </si>
  <si>
    <t>CCE-11||05</t>
  </si>
  <si>
    <t>1331 CAJA MENOR</t>
  </si>
  <si>
    <t>2.1.2.01.01.003.01.06</t>
  </si>
  <si>
    <t>Otras máquinas para usos generales y sus partes y piezas</t>
  </si>
  <si>
    <t>CAJA MENOR</t>
  </si>
  <si>
    <t>CCE-11||06</t>
  </si>
  <si>
    <t>2.1.2.01.01.003.02.07</t>
  </si>
  <si>
    <t>Aparatos de uso doméstico y sus partes y piezas</t>
  </si>
  <si>
    <t>CCE-11||07</t>
  </si>
  <si>
    <t>2.1.2.01.01.003.03.01</t>
  </si>
  <si>
    <t>Máquinas para oficina y contabilidad, y sus partes y accesorios</t>
  </si>
  <si>
    <t>CCE-11||08</t>
  </si>
  <si>
    <t>2.1.2.01.01.003.03.02</t>
  </si>
  <si>
    <t>Maquinaria de informática y sus partes, piezas y accesorios</t>
  </si>
  <si>
    <t>CCE-11||09</t>
  </si>
  <si>
    <t>2.1.2.01.01.003.05.02</t>
  </si>
  <si>
    <t>Aparatos transmisores de televisión y radio; televisión, video y cámaras digitales; teléfonos</t>
  </si>
  <si>
    <t>CCE-11||10</t>
  </si>
  <si>
    <t>2.1.2.01.01.003.05.03</t>
  </si>
  <si>
    <t>Radiorreceptores y receptores de televisión; aparatos para la grabación y reproducción de sonido y video; micrófonos, altavoces, amplificadores, etc.</t>
  </si>
  <si>
    <t>CCE-11||11</t>
  </si>
  <si>
    <t>2.1.2.01.01.003.05.04</t>
  </si>
  <si>
    <t>Partes y piezas de los productos de las clases 4721 a 4733 y 4822</t>
  </si>
  <si>
    <t>CCE-11||12</t>
  </si>
  <si>
    <t>2.1.2.01.01.003.05.05</t>
  </si>
  <si>
    <t>Discos, cintas, dispositivos de almacenamiento en estado sólido no volátiles y otros medios, no grabados</t>
  </si>
  <si>
    <t>CCE-11||13</t>
  </si>
  <si>
    <t>2.1.2.01.01.003.06.02</t>
  </si>
  <si>
    <t>Instrumentos y aparatos de medición, verificación, análisis, de navegación y para otros fines (excepto instrumentos ópticos); instrumentos de control de procesos industriales, sus partes, piezas y accesorios</t>
  </si>
  <si>
    <t>CCE-11||14</t>
  </si>
  <si>
    <t>2.1.2.01.01.004.01.01.01</t>
  </si>
  <si>
    <t>Asientos</t>
  </si>
  <si>
    <t>CCE-11||15</t>
  </si>
  <si>
    <t>2.1.2.01.01.004.01.01.02</t>
  </si>
  <si>
    <t>Muebles del tipo utilizado en la oficina</t>
  </si>
  <si>
    <t>CCE-11||16</t>
  </si>
  <si>
    <t>2.1.2.01.01.004.01.01.04</t>
  </si>
  <si>
    <t>Otros muebles N.C.P.</t>
  </si>
  <si>
    <t>CCE-11||17</t>
  </si>
  <si>
    <t>2.1.2.01.01.004.01.01.05</t>
  </si>
  <si>
    <t>Somieres, colchones con muebles, rellenos o guarnecidos interiormente con cualquier material, de caucho o plásticos celulares, recubiertos o no</t>
  </si>
  <si>
    <t>CCE-11||18</t>
  </si>
  <si>
    <t>2.1.2.02.01.000</t>
  </si>
  <si>
    <t>Agricultura, silvicultura y productos de la pesca</t>
  </si>
  <si>
    <t>CCE-11||19</t>
  </si>
  <si>
    <t>2.1.2.02.01.003</t>
  </si>
  <si>
    <t>Otros bienes transportables (excepto productos metálicos, maquinaria y equipo)</t>
  </si>
  <si>
    <t>CCE-11||21</t>
  </si>
  <si>
    <t>2.1.2.02.01.004</t>
  </si>
  <si>
    <t xml:space="preserve"> Productos metálicos y paquetes de software</t>
  </si>
  <si>
    <t>CCE-11||26</t>
  </si>
  <si>
    <t>2.1.2.02.02.006</t>
  </si>
  <si>
    <t>Servicios de alojamiento; servicios de suministro de comidas y bebidas; servicios de transporte; y servicios de distribución de electricidad, gas y agua</t>
  </si>
  <si>
    <t>CCE-11||27</t>
  </si>
  <si>
    <t>2.1.2.02.02.007</t>
  </si>
  <si>
    <t>Servicios financieros y servicios conexos, servicios inmobiliarios y servicios de leasing</t>
  </si>
  <si>
    <t>CCE-11||28</t>
  </si>
  <si>
    <t>2.1.2.02.02.008</t>
  </si>
  <si>
    <t xml:space="preserve">Servicios prestados a las empresas y servicios de producción </t>
  </si>
  <si>
    <t>CCE-11||29</t>
  </si>
  <si>
    <t>2.1.2.02.02.009</t>
  </si>
  <si>
    <t>Servicios para la comunidad, sociales y personales</t>
  </si>
  <si>
    <t>2.1.2.02.01.002</t>
  </si>
  <si>
    <t>Productos alimenticios, bebidas y tabaco; textiles, prendas de vestir y productos de cuero</t>
  </si>
  <si>
    <t>CCE-11||30</t>
  </si>
  <si>
    <t>1470 SALUD</t>
  </si>
  <si>
    <t>Subdirección de Bienestar Universitario</t>
  </si>
  <si>
    <t>CCE-11||31</t>
  </si>
  <si>
    <t>CCE-11||32</t>
  </si>
  <si>
    <t>CCE-11||33</t>
  </si>
  <si>
    <t>1480 OTROS DE BIENESTAR</t>
  </si>
  <si>
    <t>CCE-11||34</t>
  </si>
  <si>
    <t>2.1.8.05.01.004</t>
  </si>
  <si>
    <t>Sanciones administrativas</t>
  </si>
  <si>
    <t>1321 GESTIÓN AMBIENTAL</t>
  </si>
  <si>
    <t xml:space="preserve">Sistema de Gestión Ambiental </t>
  </si>
  <si>
    <t>Amparar el pago de seguimiento y evaluación requeridos para la ejecución de conceptos técnicos forestales.</t>
  </si>
  <si>
    <t>OTROS</t>
  </si>
  <si>
    <t>CCE-11||35</t>
  </si>
  <si>
    <t>10.01</t>
  </si>
  <si>
    <t>CCE-11||36</t>
  </si>
  <si>
    <t>2.1.8.01.58</t>
  </si>
  <si>
    <t>Sobretasa Ambiental</t>
  </si>
  <si>
    <t>CCE-11||37</t>
  </si>
  <si>
    <t>1320 SOPORTE INSTITUCIONAL GG</t>
  </si>
  <si>
    <t>2.1.1.01.03.099</t>
  </si>
  <si>
    <t xml:space="preserve">Bonificación sindical </t>
  </si>
  <si>
    <t>BIENESTAR SOCIAL Y ESTÍMULOS</t>
  </si>
  <si>
    <t>CCE-11||38</t>
  </si>
  <si>
    <t>1325 SGSI</t>
  </si>
  <si>
    <t xml:space="preserve">Subdirección de Gestión de Sistemas </t>
  </si>
  <si>
    <t>Adquirir partes, piezas, accesorios y periféricos en tecnología informática para los equipos de cómputo de la Universidad Pedagógica Nacional</t>
  </si>
  <si>
    <t>FUN-001</t>
  </si>
  <si>
    <t>CCE-11||39</t>
  </si>
  <si>
    <t>2.1.2.02.01.001</t>
  </si>
  <si>
    <t>Minerales; electricidad, gas y agua</t>
  </si>
  <si>
    <t>Suministrar materiales de construcción, ferretería y plomería para las adecuaciones y mantenimientos que se realizan en las diferentes instalaciones de la Universidad Pedagógica Nacional.</t>
  </si>
  <si>
    <t>FUN-002</t>
  </si>
  <si>
    <t>30131500;30131600;30131700;30102400;30103600;31201600; 11111600; 11111700; 11111800; 11101500</t>
  </si>
  <si>
    <t>CCE-11||40</t>
  </si>
  <si>
    <t>30131500;30131600;30131700;30102400;30103600;31201600;  40171500; 40171600; 40171700; 40171800; 40171900; 40173000; 40174000;40175000</t>
  </si>
  <si>
    <t>CCE-11||41</t>
  </si>
  <si>
    <t xml:space="preserve"> 27111700; 30131500;30131600;30131700;30102400;30103600;31201600;  40171500; 40171600; 40171700; 40171800; 40171900; 40173000; 40174000;40175000;</t>
  </si>
  <si>
    <t>CCE-11||42</t>
  </si>
  <si>
    <t>Suministrar  pinturas y materiales necesarios para realizar las labores de mantenimiento locativo en las diferentes instalaciones de la Universidad Pedagógica Nacional.</t>
  </si>
  <si>
    <t>FUN-003</t>
  </si>
  <si>
    <t>31211500; 31211600;31211700;31211800;31211900</t>
  </si>
  <si>
    <t>CCE-11||43</t>
  </si>
  <si>
    <t>Suministrar pinturas y materiales necesarios para realizar las labores de mantenimiento locativo en las diferentes instalaciones de la Universidad Pedagógica Nacional.</t>
  </si>
  <si>
    <t>CCE-11||44</t>
  </si>
  <si>
    <t>Suministrar elementos de aseo y desinfección para los diferentes predios de la Universidad Pedagógica Nacional.</t>
  </si>
  <si>
    <t>FUN-004</t>
  </si>
  <si>
    <t>14111700;47131500;47131600;47131700;47131800;47131900; 47132100</t>
  </si>
  <si>
    <t>CCE-11||45</t>
  </si>
  <si>
    <t>CCE-11||46</t>
  </si>
  <si>
    <t>CCE-11||47</t>
  </si>
  <si>
    <t>Adquirir la dotación para  los funcionarios  administrativos planta, provisionales y supernumerarios vigencia 2024</t>
  </si>
  <si>
    <t>FUN-005</t>
  </si>
  <si>
    <t>53101600;53101900;53101902;53101904</t>
  </si>
  <si>
    <t>CCE-11||48</t>
  </si>
  <si>
    <t>Adquirir la dotación de confección para los trabajadores oficiales y personal que presta servicio en el área de restaurante vigencia 2024</t>
  </si>
  <si>
    <t>FUN-006</t>
  </si>
  <si>
    <t>53101600;53101500;53101800;53103000;53102500;53102100;53102700</t>
  </si>
  <si>
    <t>CCE-11||49</t>
  </si>
  <si>
    <t>Adquirir la dotación de calzado para los trabajadores oficiales y personal que presta servicio en el área de restaurante vigencia 2024</t>
  </si>
  <si>
    <t>FUN-007</t>
  </si>
  <si>
    <t>53111600;53111500</t>
  </si>
  <si>
    <t>CCE-11||50</t>
  </si>
  <si>
    <t>Adquirir la dotación de implementos de seguridad para los trabajadores oficiales y personal que presta servicio en el área de restaurante vigencia 2024.</t>
  </si>
  <si>
    <t>FUN-008</t>
  </si>
  <si>
    <t>46181500;42131600</t>
  </si>
  <si>
    <t>CCE-11||51</t>
  </si>
  <si>
    <t>Suministrar elementos e insumos de cafetería para los diferentes predios de la Universidad Pedagógica Nacional.</t>
  </si>
  <si>
    <t>FUN-009</t>
  </si>
  <si>
    <t>50201700;50161800;52151500; 52152100;40101800;40161500; 50161500;90101700</t>
  </si>
  <si>
    <t>CCE-11||52</t>
  </si>
  <si>
    <t>CCE-11||53</t>
  </si>
  <si>
    <t>1510 SEGURIDAD Y SALUD EN EL TRABAJO</t>
  </si>
  <si>
    <t xml:space="preserve">Subdirección de Personal </t>
  </si>
  <si>
    <t>Adquirir los elementos de protección personal de tipo seguridad industrial para los funcionarios de la Universidad Pedagógica Nacional, en cumplimiento a la política de seguridad y salud en el trabajo de la UPN y la normatividad nacional vigente en Seguridad y Salud en el Trabajo Decreto 1072 de 2015.</t>
  </si>
  <si>
    <t>FUN-010</t>
  </si>
  <si>
    <t>46181500;46181600;46181700;46181800;46181900</t>
  </si>
  <si>
    <t>CCE-11||54</t>
  </si>
  <si>
    <t>31211900;53111500;53102700;53103100;46182300;46181800;46181700;46181600;46181500;42131600;</t>
  </si>
  <si>
    <t>CCE-11||55</t>
  </si>
  <si>
    <t>53111500;53102700;53103100;46181500;46181600;46181700;46181800;46181900;46182000</t>
  </si>
  <si>
    <t>CCE-11||56</t>
  </si>
  <si>
    <t>Adquirir químicos e insumos para el mantenimiento y limpieza de la piscina de Calle 72 de la Universidad Pedagógica Nacional</t>
  </si>
  <si>
    <t>FUN-011</t>
  </si>
  <si>
    <t>47101500;47101568;49241700;49241712;47101600</t>
  </si>
  <si>
    <t>CCE-11||57</t>
  </si>
  <si>
    <t>Adquirir el boiler fosfato para evitar incrustaciones en la caldera de la UPN.</t>
  </si>
  <si>
    <t>FUN-012</t>
  </si>
  <si>
    <t>47101600;47101604;47101606</t>
  </si>
  <si>
    <t>CCE-11||58</t>
  </si>
  <si>
    <t>Suministrar materiales eléctricos para adecuaciones y mantenimientos que se realizan en las diferentes instalaciones de la Universidad Pedagógica Nacional.</t>
  </si>
  <si>
    <t>FUN-013</t>
  </si>
  <si>
    <t>39131700;39131600;32141000; 321141100; 39101800,39111505; 39111521; 30151703;39131714</t>
  </si>
  <si>
    <t>CCE-11||59</t>
  </si>
  <si>
    <t xml:space="preserve">39131700;39131600;32101600;32141000;321141100;39101900;39111505; 39111521;30151703;39131714; 39121529; 39122200; 39121602; 27110000; 39101600; </t>
  </si>
  <si>
    <t>CCE-11||60</t>
  </si>
  <si>
    <t>Suministrar combustible (GASOLINA Y ACPM) para los vehículos que conforman el parque automotor de la Universidad
Pedagógica Nacional</t>
  </si>
  <si>
    <t>FUN-014</t>
  </si>
  <si>
    <t>CCE-11||61</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</si>
  <si>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t>
  </si>
  <si>
    <t>Vigencia Futura</t>
  </si>
  <si>
    <t>CCE-11||62</t>
  </si>
  <si>
    <t>Amparar el Pago de las pólizas correspondientes a los contratos y convenios que se tramitan desde la Subdirección de Asesorías y Extensión - Vicerrectoría de Gestión Universitaria.</t>
  </si>
  <si>
    <t>Amparar el pago de los SOAT "Seguro Obligatorio De Automóviles" de los vehículos de propiedad de la Universidad Pedagógica Nacional para la vigencia 2024.</t>
  </si>
  <si>
    <t>CCE-11||63</t>
  </si>
  <si>
    <t>Subdirección Financiera</t>
  </si>
  <si>
    <t>Amparar los gastos bancarios de las operaciones que debe realizar la universidad y que cobran las entidades bancarias que no se contemplan en la reciprocidad</t>
  </si>
  <si>
    <t>OTROS - Gastos Directos</t>
  </si>
  <si>
    <t>CCE-11||65</t>
  </si>
  <si>
    <t>VICERRECTORÍA ACADÉMICA</t>
  </si>
  <si>
    <t xml:space="preserve">1322 SUBDIRECCIÓN DE ADMISIONES Y REGISTRO </t>
  </si>
  <si>
    <t xml:space="preserve">Subdirección de Admisiones y Registros </t>
  </si>
  <si>
    <t>Amparar los aportes a riesgos laborales -ARL de los estudiantes que realizarán práctica educativa o pedagógica durante la vigencia 2024.</t>
  </si>
  <si>
    <t>Si</t>
  </si>
  <si>
    <t xml:space="preserve">OTROS </t>
  </si>
  <si>
    <t>CCE-11||66</t>
  </si>
  <si>
    <t>Adquirir papelería y útiles de oficina, con el fin de atender las necesidades básicas de las diferentes dependencias de la Universidad vigencia 2024.</t>
  </si>
  <si>
    <t>FUN-015</t>
  </si>
  <si>
    <t>44121500;44121700;44121800;44121900;44122000;44122100;44111912;44102402;31201600;31201500;44111600;31201500;14121700;60102800;14111500;44121600;31163200;26111700;43211600;44102800</t>
  </si>
  <si>
    <t>CCE-11||67</t>
  </si>
  <si>
    <t>Adquirir Papelería y útiles de oficina, con el fin de atender las necesidades básicas de las diferentes dependencias de la Universidad vigencia 2024.</t>
  </si>
  <si>
    <t>CCE-11||68</t>
  </si>
  <si>
    <t>53101600;53101500;53100000;53101800;53103000;53102500;53102100;53102700</t>
  </si>
  <si>
    <t>CCE-11||69</t>
  </si>
  <si>
    <t>2.1.2.02.02.005</t>
  </si>
  <si>
    <t>Servicios de construcción</t>
  </si>
  <si>
    <t xml:space="preserve">Suministrar e instalar blackouts y persianas en las diferentes instalaciones de la Universidad Pedagógica Nacional. </t>
  </si>
  <si>
    <t>FUN-016</t>
  </si>
  <si>
    <t>72153000;72101500</t>
  </si>
  <si>
    <t>CCE-11||70</t>
  </si>
  <si>
    <t>Realizar el suministro e instalación de vidrios, divisiones, espejos, y películas en las diferentes instalaciones de la Universidad Pedagógica Nacional.</t>
  </si>
  <si>
    <t>FUN-017</t>
  </si>
  <si>
    <t>72153002;72152400</t>
  </si>
  <si>
    <t>CCE-11||71</t>
  </si>
  <si>
    <t xml:space="preserve">Servicios Públicos
</t>
  </si>
  <si>
    <t>Servicios Públicos</t>
  </si>
  <si>
    <t>CCE-11||72</t>
  </si>
  <si>
    <t>Prestar el servicio de transporte terrestre para las salidas académicas y administrativas de la Universidad Pedagógica Nacional</t>
  </si>
  <si>
    <t>FUN-018</t>
  </si>
  <si>
    <t>CCE-11||73</t>
  </si>
  <si>
    <t>Suministrar los pasajes aéreos en rutas nacionales e internacionales, según requerimiento de la Universidad Pedagógica Nacional</t>
  </si>
  <si>
    <t>FUN-019</t>
  </si>
  <si>
    <t>78111500; 90121500</t>
  </si>
  <si>
    <t>CCE-11||74</t>
  </si>
  <si>
    <t xml:space="preserve">Servicios Públicos </t>
  </si>
  <si>
    <t>CCE-11||75</t>
  </si>
  <si>
    <t>Prestar el servicio integral de conectividad (Canal de Datos, Internet y Wifi dedicado) con los equipos necesarios instalados y configurados sobre la plataforma tecnológica de la Universidad Pedagógica Nacional. Según Acuerdo 017 del 29 de septiembre del 2023, del Consejo Superior - Vigencia futura 2024.</t>
  </si>
  <si>
    <t>CCE-11||76</t>
  </si>
  <si>
    <t>Contratar la prestación del servicio de vigilancia y seguridad privada para las personas y bienes muebles e inmuebles de la Universidad Pedagógica Nacional</t>
  </si>
  <si>
    <t>FUN-020</t>
  </si>
  <si>
    <t>CCE-11||77</t>
  </si>
  <si>
    <t>21.20.01</t>
  </si>
  <si>
    <t>1311 RECURSOS PIC</t>
  </si>
  <si>
    <t>Prestar el servicio de aseo y cafetería para la Universidad Pedagógica Nacional</t>
  </si>
  <si>
    <t>FUN-021</t>
  </si>
  <si>
    <t>CCE-11||78</t>
  </si>
  <si>
    <t>Realizar el mantenimiento preventivo y correctivo a vehículos con motorización OTTO a Gasolina de la flota vehicular de la Universidad</t>
  </si>
  <si>
    <t>FUN-022</t>
  </si>
  <si>
    <t>CCE-11||79</t>
  </si>
  <si>
    <t>Presta el servicio de mantenimiento, restauración y proceso de conservación de dos mosaicos (de 34 y 20 fotos respectivamente) del Museo Itinerante de la Educación Física.</t>
  </si>
  <si>
    <t>FUN-023</t>
  </si>
  <si>
    <t>CCE-11||80</t>
  </si>
  <si>
    <t>VICERRECTORÍA DE GESTIÓN UNIVERSITARIA</t>
  </si>
  <si>
    <t>1324 CENTRO DE EGRESADOS</t>
  </si>
  <si>
    <t>Centro de Egresados</t>
  </si>
  <si>
    <t>Prestar el servicio de catering para eventos de la Universidad Pedagógica Nacional.</t>
  </si>
  <si>
    <t>FUN-024</t>
  </si>
  <si>
    <t>90101500;90101700;90111500;90111800</t>
  </si>
  <si>
    <t>CCE-11||81</t>
  </si>
  <si>
    <t>1327 S. RECURSOS EDUCATIVOS</t>
  </si>
  <si>
    <t>Subdirección de Recursos educativos</t>
  </si>
  <si>
    <t>Realizar el mantenimiento preventivo del proyector del Auditorio Multipropósito Simón Rodríguez de las Instalaciones de la calle 72 - UPN.</t>
  </si>
  <si>
    <t>FUN-025</t>
  </si>
  <si>
    <t>CCE-11||82</t>
  </si>
  <si>
    <t xml:space="preserve">Subdirección de Recursos educativos </t>
  </si>
  <si>
    <t>Prestar el servicio para la emisión de 13 capítulos del programa institucional "Historias con Futuro" de la Universidad Pedagógica Nacional por Canal Institucional de RTVC.</t>
  </si>
  <si>
    <t>FUN-026</t>
  </si>
  <si>
    <t>CCE-11||83</t>
  </si>
  <si>
    <t xml:space="preserve">RECTORIA </t>
  </si>
  <si>
    <t>1326 SECRETARIA GENERAL</t>
  </si>
  <si>
    <t xml:space="preserve">Secretaria General </t>
  </si>
  <si>
    <t>Prestar el servicio para publicar los actos administrativos de carácter general dentro de las fechas
establecidas para cada actuación, en cumplimiento al artículo 65 de la ley 1437 de 2011.</t>
  </si>
  <si>
    <t>FUN-027</t>
  </si>
  <si>
    <t>CCE-11||84</t>
  </si>
  <si>
    <t>RECTORÍA</t>
  </si>
  <si>
    <t>Realizar la recarga y mantenimiento de los equipos de extinción de incendios que se encuentran en las diferentes instalaciones de la Universidad Pedagógica Nacional.</t>
  </si>
  <si>
    <t>FUN-028</t>
  </si>
  <si>
    <t>CCE-11||85</t>
  </si>
  <si>
    <t>Realizar el mantenimiento preventivo y correctivo de las calderas del restaurante y la piscina de la Universidad Pedagógica Nacional.</t>
  </si>
  <si>
    <t>FUN-029</t>
  </si>
  <si>
    <t>72151000;72151001</t>
  </si>
  <si>
    <t>CCE-11||86</t>
  </si>
  <si>
    <t>Realizar el mantenimiento preventivo y correctivo de los aires acondicionados de las diferentes instalaciones de la Universidad Pedagógica Nacional.</t>
  </si>
  <si>
    <t>FUN-030</t>
  </si>
  <si>
    <t>72101500;72101511</t>
  </si>
  <si>
    <t>CCE-11||87</t>
  </si>
  <si>
    <t>Realizar el mantenimiento preventivo y correctivo de las Plantas Eléctricas y UPS de las diferentes instalaciones  de la Universidad Pedagógica Nacional.</t>
  </si>
  <si>
    <t>FUN-031</t>
  </si>
  <si>
    <t>73152100;72101500</t>
  </si>
  <si>
    <t>CCE-11||93</t>
  </si>
  <si>
    <t>Realizar la limpieza y mantenimiento de las trampas de grasa, pozos sépticos, cajas de inspección y redes de aguas negras de las diferentes instalaciones de la Universidad Pedagógica Nacional.</t>
  </si>
  <si>
    <t>FUN-032</t>
  </si>
  <si>
    <t>CCE-11||94</t>
  </si>
  <si>
    <t>Realizar mantenimiento de los equipos de hidropresión de las diferentes instalaciones de la UPN</t>
  </si>
  <si>
    <t>FUN-033</t>
  </si>
  <si>
    <t>CCE-11||95</t>
  </si>
  <si>
    <t>Realizar el control integrado de Plagas de las diferentes instalaciones de la Universidad Pedagógica Nacional</t>
  </si>
  <si>
    <t>FUN-034</t>
  </si>
  <si>
    <t>70141600;72102100;78141600</t>
  </si>
  <si>
    <t>CCE-11||96</t>
  </si>
  <si>
    <t>Realizar el mantenimiento preventivo y correctivo de los ascensores y equipos de transporte vertical  de las diferentes instalaciones de la Universidad Pedagógica Nacional.</t>
  </si>
  <si>
    <t>FUN-035</t>
  </si>
  <si>
    <t>72101500;72101506</t>
  </si>
  <si>
    <t>CCE-11||97</t>
  </si>
  <si>
    <t>Servicios prestados a las empresas y servicios de producción</t>
  </si>
  <si>
    <t>Realizar el lavado de tanques de agua potable y el análisis físico-químico, biológico e IRCA de agua cruda para consumo de las diferentes instalaciones de la Universidad Pedagógica Nacional.</t>
  </si>
  <si>
    <t>FUN-036</t>
  </si>
  <si>
    <t>CCE-11||104</t>
  </si>
  <si>
    <t>Subdirección de Personal</t>
  </si>
  <si>
    <t xml:space="preserve">Prestar el servicio para el mantenimiento preventivo y calibración de los equipos biomédicos de la Universidad Pedagógica nacional </t>
  </si>
  <si>
    <t>FUN-037</t>
  </si>
  <si>
    <t>73152100;81101700</t>
  </si>
  <si>
    <t>CCE-11||98</t>
  </si>
  <si>
    <t xml:space="preserve">Prestar el servicio para realizar los análisis fisicoquímicos y microbiológicos del agua de la piscina de calle 72.  </t>
  </si>
  <si>
    <t>FUN-038</t>
  </si>
  <si>
    <t>70171600;70171602</t>
  </si>
  <si>
    <t>CCE-11||99</t>
  </si>
  <si>
    <t>Realizar la recolección, transporte y disposición final de los residuos especiales generados en las diferentes instalaciones de la UPN</t>
  </si>
  <si>
    <t>FUN-039</t>
  </si>
  <si>
    <t>76121900;76121600</t>
  </si>
  <si>
    <t>CCE-11||100</t>
  </si>
  <si>
    <t>Realizar la recolección, transporte y disposición final de los residuos peligrosos generados en las diferentes instalaciones de la UPN</t>
  </si>
  <si>
    <t>FUN-040</t>
  </si>
  <si>
    <t>CCE-11||101</t>
  </si>
  <si>
    <t>Prestar los servicios para la realización de los exámenes médicos de salud ocupacional para los funcionarios de la Universidad Pedagógica Nacional.</t>
  </si>
  <si>
    <t>FUN-041</t>
  </si>
  <si>
    <t>CCE-11||103</t>
  </si>
  <si>
    <t>Oficina de Relaciones Internacionales</t>
  </si>
  <si>
    <t>2.1.3.03.03.001</t>
  </si>
  <si>
    <t>Membresías</t>
  </si>
  <si>
    <t xml:space="preserve">Amparar el pago de la cuota anual del Consejo de Educación Popular de América Latina y el Caribe - CEAAL, correspondiente al año 2024, el valor a pagar es de 100 dólares, se calculó valor del dólar $4.603. El valor real está sujeto a la fecha de la negociación de las divisas.
</t>
  </si>
  <si>
    <t>MEMBRESÍA</t>
  </si>
  <si>
    <t>CCE-11||105</t>
  </si>
  <si>
    <t xml:space="preserve">Amparar el pago de la cuota anual de la Asociación Universitaria Iberoamericana de Postgrados - AUIP, correspondiente al año 2024, el valor a pagar es de 1.500 euros, se calculó valor del euro $5294. El valor real está sujeto a la fecha de la negociación de las divisas.
</t>
  </si>
  <si>
    <t>CCE-11||106</t>
  </si>
  <si>
    <t>Amparar el pago de la cuota anual de la Unión de Universidades de América Latina y el Caribe - UDUAL, correspondiente al año 2024, el valor a pagar es de 1.210 dólares, se calculó valor del dólar $4.184. El valor real está sujeto a la fecha de la negociación de las divisas.</t>
  </si>
  <si>
    <t>CCE-11||107</t>
  </si>
  <si>
    <t>Amparar el pago de la membresía del Consejo Latinoamericano de Ciencias Sociales - CLACSO</t>
  </si>
  <si>
    <t>CCE-11||108</t>
  </si>
  <si>
    <t xml:space="preserve">Amparar el pago de Otras organizaciones (3 nuevas afiliaciones internacionales) (US$1000)  </t>
  </si>
  <si>
    <t>CCE-11||109</t>
  </si>
  <si>
    <t>2.1.3.04.05.001</t>
  </si>
  <si>
    <t>Amparar el pago de la cuota de sostenimiento anual de la Asociación Colombiana de Facultades de Humanidades y de Ciencias Sociales</t>
  </si>
  <si>
    <t>CCE-11||111</t>
  </si>
  <si>
    <t xml:space="preserve">Amparar el pago de la cuota de ACAC </t>
  </si>
  <si>
    <t>CCE-11||112</t>
  </si>
  <si>
    <t>Amparar el pago de la membresía del año 2024 de la Facultad de Bellas Artes en la Asociación Colombiana de Programas y Facultades de Artes ACOFARTES.</t>
  </si>
  <si>
    <t>CCE-11||113</t>
  </si>
  <si>
    <t>Amparar el pago de la cuota de afiliación con el Instituto Colombiano de Normas Técnicas y Certificación ICONTEC, correspondiente al año 2024.</t>
  </si>
  <si>
    <t>CCE-11||114</t>
  </si>
  <si>
    <t>Amparar el pago de la membresía de la Asociación Colombiana de Facultades de Educación- ASCOFADE, correspondiente a la cuota de sostenimiento anual 2024.</t>
  </si>
  <si>
    <t>CCE-11||115</t>
  </si>
  <si>
    <t>Amparar el pago de la cuota de membresía de la Asociación Red Colombiana de Facultades de Deporte, Educación Física y Recreación - ARCOFADER, correspondiente al año 2024.</t>
  </si>
  <si>
    <t>CCE-11||116</t>
  </si>
  <si>
    <t xml:space="preserve">Amparar el pago de la cuota de sostenimiento de la Asociación Colombiana de Universidades  - ASCUN, correspondiente al año 2024.
</t>
  </si>
  <si>
    <t>CCE-11||117</t>
  </si>
  <si>
    <t xml:space="preserve">Amparar el pago cuota anual de las actividades de Bienestar Universitario de la Universidad Pedagógica Nacional a la Asociación Colombiana de Universidades “ASCUN” correspondiente al año 2024.
</t>
  </si>
  <si>
    <t>CCE-11||118</t>
  </si>
  <si>
    <t>Amparar el pago en la participación en las actividades deportivas - torneos estudiantiles, a la Asociación Colombiana de Universidades “ASCUN” correspondiente al año 2024</t>
  </si>
  <si>
    <t>CCE-11||119</t>
  </si>
  <si>
    <t>Amparar el pago de la cuota de la membresía de la Red Colombiana de Formación Ambiental - RCFA, correspondiente al año 2024.</t>
  </si>
  <si>
    <t>CCE-11||120</t>
  </si>
  <si>
    <t>Amparar el pago de la cuota de sostenimiento de la Red Colombiana de Posgrados- RCP, correspondiente al año 2024.</t>
  </si>
  <si>
    <t>CCE-11||121</t>
  </si>
  <si>
    <t>Amparar el pago de suscripción a la Sociedad de Autores y Compositores SAYCO, necesario para el funcionamiento de la Emisora Pedagógica Radio.</t>
  </si>
  <si>
    <t>CCE-11||122</t>
  </si>
  <si>
    <t>Amparar el pago de Otras organizaciones (3 nuevas afiliaciones internacionales) (3 SMLV)</t>
  </si>
  <si>
    <t>CCE-11||123</t>
  </si>
  <si>
    <t>Amparar el pago de suscripción a la Asociación Colombiana de Intérpretes y Productores Fonográficos ACINPRO, necesario para el funcionamiento de la Emisora Pedagógica Radio.</t>
  </si>
  <si>
    <t>CCE-11||124</t>
  </si>
  <si>
    <t>2.1.3.07.02.030</t>
  </si>
  <si>
    <t>Auxilio sindical (no de pensiones)</t>
  </si>
  <si>
    <t xml:space="preserve">Auxilios Sindicales
</t>
  </si>
  <si>
    <t>CCE-11||125</t>
  </si>
  <si>
    <t>2.1.1.01.03.093</t>
  </si>
  <si>
    <t>Prima o auxilio de Maternidad</t>
  </si>
  <si>
    <t>2.1.1.01.03.104</t>
  </si>
  <si>
    <t>Incentivo por Jubilación</t>
  </si>
  <si>
    <t>2.1.3.07.02.012.02</t>
  </si>
  <si>
    <t>Auxilios funerarios a cargo de la entidad</t>
  </si>
  <si>
    <t>2.1.3.07.02.089</t>
  </si>
  <si>
    <t>Auxilio de Incapacidad</t>
  </si>
  <si>
    <t>2.1.3.07.02.094</t>
  </si>
  <si>
    <t>Auxilios Salud Visual</t>
  </si>
  <si>
    <t>2.1.3.07.02.097</t>
  </si>
  <si>
    <t>Auxilios Médicos</t>
  </si>
  <si>
    <t>2.1.3.07.02.098</t>
  </si>
  <si>
    <t>Auxilios Educativos</t>
  </si>
  <si>
    <t>1331 SOPORTE INSTITUCIONAL GG</t>
  </si>
  <si>
    <t>2.1.3.08.02</t>
  </si>
  <si>
    <t>Apoyo socioeconómico a estudiantes</t>
  </si>
  <si>
    <t>Amparar los apoyos  económicos vigencia 2024</t>
  </si>
  <si>
    <t>CCE-11||126</t>
  </si>
  <si>
    <t>2.1.3.13.01.001</t>
  </si>
  <si>
    <t>Sentencias</t>
  </si>
  <si>
    <t>CCE-11||127</t>
  </si>
  <si>
    <t>2.1.3.13.01.002</t>
  </si>
  <si>
    <t>Conciliaciones</t>
  </si>
  <si>
    <t>CCE-11||128</t>
  </si>
  <si>
    <t>2.1.8.01.51</t>
  </si>
  <si>
    <t>Impuesto sobre vehículos automotores</t>
  </si>
  <si>
    <t>Pago de impuesto sobre vehículos automotores de propiedad de la Universidad Pedagógica Nacional correspondientes a la vigencia 2024</t>
  </si>
  <si>
    <t>IMPUESTO</t>
  </si>
  <si>
    <t>CCE-11||129</t>
  </si>
  <si>
    <t>2.1.8.01.52</t>
  </si>
  <si>
    <t>Impuesto predial unificado</t>
  </si>
  <si>
    <t>Pago de los impuestos prediales de la vigencia 2024 de los predios ubicados de la UPN</t>
  </si>
  <si>
    <t>PREDIAL</t>
  </si>
  <si>
    <t>CCE-11||130</t>
  </si>
  <si>
    <t>2.1.8.01.54</t>
  </si>
  <si>
    <t>Impuesto de industria y comercio</t>
  </si>
  <si>
    <t>Amparar el pago del impuesto de Industria y Comercio (ICA) de la Universidad Pedagógica Nacional.</t>
  </si>
  <si>
    <t>ICA</t>
  </si>
  <si>
    <t>CCE-11||131</t>
  </si>
  <si>
    <t>2.1.8.04.01</t>
  </si>
  <si>
    <t>Cuota de fiscalización y auditaje</t>
  </si>
  <si>
    <t>Pago de la cuota de fiscalización y auditaje</t>
  </si>
  <si>
    <t>CCE-11||133</t>
  </si>
  <si>
    <t>2.1.8.01.14</t>
  </si>
  <si>
    <t>Gravamen a los movimientos financieros</t>
  </si>
  <si>
    <t>CCE-11||135</t>
  </si>
  <si>
    <t>20.03</t>
  </si>
  <si>
    <t>21.10.01</t>
  </si>
  <si>
    <t>21.10.03</t>
  </si>
  <si>
    <t>Suministrar papel higiénico para las diferentes instalaciones de la Universidad Pedagógica Nacional.</t>
  </si>
  <si>
    <t>FUN-042</t>
  </si>
  <si>
    <t>CCE-11||136</t>
  </si>
  <si>
    <t>Prestar el servicio de impresión, fotocopiado y scanner mediante el alquiler e instalación de equipos de última tecnología en las diferentes instalaciones de la Universidad Pedagógica Nacional</t>
  </si>
  <si>
    <t>FUN-043</t>
  </si>
  <si>
    <t>CCE-11||137</t>
  </si>
  <si>
    <t>Pago de las cuotas de administración de los lotes 26 y 29 del Condominio Campestre Los Tulipanes propiedad de la UPN de la vigencia 2024.</t>
  </si>
  <si>
    <t>CCE-11||138</t>
  </si>
  <si>
    <t xml:space="preserve">Realizar el mantenimiento  preventivo y correctivo a la flota vehicular de la Universidad Pedagógica Nacional </t>
  </si>
  <si>
    <t>FUN-044</t>
  </si>
  <si>
    <t>CCE-11||139</t>
  </si>
  <si>
    <t>Prestar el servicio para la elaboración e impresión del material de divulgación requerido por la Universidad Pedagógica Nacional para atender los diferentes eventos y/o requerimientos institucionales.</t>
  </si>
  <si>
    <t>FUN-045</t>
  </si>
  <si>
    <t>60111400;44121604;44121700;52152100;24121500;44121800;44121700;44121600;41111600;53102500;53121600;53103000;24122000;82101500</t>
  </si>
  <si>
    <t>CCE-11||140</t>
  </si>
  <si>
    <t>Adquirir buzos, camisetas y gorras institucionales en el marco de la participación de la UPN en la Feria internacional del libro de Bogotá y librería</t>
  </si>
  <si>
    <t>FUN-046</t>
  </si>
  <si>
    <t>53101600;53101700;53101800;53102500;53121600</t>
  </si>
  <si>
    <t>CCE-11||241</t>
  </si>
  <si>
    <t>Adquirir materiales institucionales en el marco de la participación de la UPN en la Feria Internacional del Libro de Bogotá y librería </t>
  </si>
  <si>
    <t>FUN-047</t>
  </si>
  <si>
    <t>53102500;52152100;53141500;60111400</t>
  </si>
  <si>
    <t>CCE-11||242</t>
  </si>
  <si>
    <t xml:space="preserve">Prestar el servicio de seguro exequiales </t>
  </si>
  <si>
    <t>CCE-11||247</t>
  </si>
  <si>
    <t>Realizar mantenimiento correctivo y preventivo de los tractores de la Universidad Pedagógica Nacional</t>
  </si>
  <si>
    <t>FUN-048</t>
  </si>
  <si>
    <t>CCE-11||257</t>
  </si>
  <si>
    <t>Prestar el servicio de mantenimiento preventivo y correctivo de las máquinas brilladoras de la UPN</t>
  </si>
  <si>
    <t>FUN-049</t>
  </si>
  <si>
    <t>CCE-11||259</t>
  </si>
  <si>
    <t>Prestar el servicio de limpieza y desinfección de los tapetes del auditorio.</t>
  </si>
  <si>
    <t>FUN-050</t>
  </si>
  <si>
    <t>76111505;60105808</t>
  </si>
  <si>
    <t>CCE-11||258</t>
  </si>
  <si>
    <t>Realizar el lavado externo de los vehículos del parque automotor de la Universidad Pedagógica Nacional.</t>
  </si>
  <si>
    <t>FUN-051</t>
  </si>
  <si>
    <t>CCE-11||260</t>
  </si>
  <si>
    <t>Prestar el servicio de Monitoreo y Rastreo Satelital para los vehículos del Parque Automotor de propiedad de la UPN</t>
  </si>
  <si>
    <t>FUN-052</t>
  </si>
  <si>
    <t>CCE-11||261</t>
  </si>
  <si>
    <t>Prestar el servicio de ambulancia en las diferentes actividades académicas y administrativas de la Universidad Pedagógica Nacional.</t>
  </si>
  <si>
    <t>FUN-053</t>
  </si>
  <si>
    <t>CCE-11||262</t>
  </si>
  <si>
    <t>Amparar el canon de arrendamiento del Contrato No.899 de 2003 - ubicado en la Cra 22#73-45. (Sección Educación Inicial del Instituto Pedagógico Nacional) . Según  Acuerdo 026 del 24 de octubre  de 2023, del Consejo Superior - Vigencia futura 2024.</t>
  </si>
  <si>
    <t>ARRIENDOS</t>
  </si>
  <si>
    <t>CCE-11||64</t>
  </si>
  <si>
    <t>Amparar el canon de arrendamiento del Contrato No. 898 de 2003 - ubicado en la Cra 22#73-31 (Sección Educación Inicial del Instituto Pedagógico Nacional). Según Acuerdo 026 del 24 de octubre  de 2023, del Consejo Superior - Vigencia futura 2024.</t>
  </si>
  <si>
    <t>Amparar la prestación del servicio de vigilancia y seguridad privada para las personas y bienes muebles e inmuebles de la Universidad Pedagógica Nacional”. según el Acuerdo 030 del 3 de noviembre de 2022, del Consejo Superior - Vigencia futura 2024.</t>
  </si>
  <si>
    <t>Amparar la prestación del servicio de aseo  de la Universidad Pedagógica Nacional”. según el Acuerdo 030 del 3 de noviembre de 2022, del Consejo Superior - Vigencia futura 2024</t>
  </si>
  <si>
    <t>Prestar el servicio para la ejecución de  las autorizaciones técnicas emitidas por la CAR para poda y tala en las instalaciones fuera de Bogotá</t>
  </si>
  <si>
    <t>FUN-054</t>
  </si>
  <si>
    <t>70151900;70111500</t>
  </si>
  <si>
    <t>CCE-11||159</t>
  </si>
  <si>
    <t>Realizar la recolección, transporte y disposición final de los residuos biológicos  generados en las diferentes instalaciones de la UPN</t>
  </si>
  <si>
    <t>FUN-055</t>
  </si>
  <si>
    <t>76121900;76121600;72121901</t>
  </si>
  <si>
    <t>CCE-11||160</t>
  </si>
  <si>
    <t>Prestar el servicio de toma de muestras y análisis para determinación del contenido de PCBs de la subestación ubicada
en las instalaciones de calle 72 de la UPN.</t>
  </si>
  <si>
    <t>FUN-056</t>
  </si>
  <si>
    <t>77131700;77121500;7121600;77121700</t>
  </si>
  <si>
    <t>CCE-11||173</t>
  </si>
  <si>
    <t>Pago de sanciones generadas por acto administrativo por la Secretaría de Salud, Secretaría de Ambiente y demás autoridades.</t>
  </si>
  <si>
    <t>CCE-11||245</t>
  </si>
  <si>
    <t>2.1.8.05.02</t>
  </si>
  <si>
    <t>Intereses de Mora</t>
  </si>
  <si>
    <t>Realizar el pago de los intereses de mora a la Secretaria Distrital De Salud</t>
  </si>
  <si>
    <t>CCE-11||246</t>
  </si>
  <si>
    <t xml:space="preserve">
Prestar el servicio de ejecución de Planes de poda de las instalaciones de Calle 72 ciclo 3 y ciclo 4; Valmaria; Nogal;  IPN de acuerdo con el concepto técnico de la SDA.	</t>
  </si>
  <si>
    <t>FUN-057</t>
  </si>
  <si>
    <t>70151900; 70111500</t>
  </si>
  <si>
    <t>CCE-11||248</t>
  </si>
  <si>
    <t>Adquirir avisos, pendones, e insumos publicitarios que se requieren para cubrir las necesidades de gestión ambiental</t>
  </si>
  <si>
    <t>FUN-058</t>
  </si>
  <si>
    <t>82101500;82101502;82101505;44111500; 44121700</t>
  </si>
  <si>
    <t>CCE-11||251</t>
  </si>
  <si>
    <t>Prestar el servicio de caracterización de vertimientos de los laboratorios de biotecnología, bioclínico, biología, química, y odontología de calle 72 y laboratorios del IPN.</t>
  </si>
  <si>
    <t>FUN-059</t>
  </si>
  <si>
    <t>CCE-11||252</t>
  </si>
  <si>
    <t xml:space="preserve">Prestar el servicio de caracterización  de vertimientos  de los laboratorios de IPN
</t>
  </si>
  <si>
    <t>FUN-060</t>
  </si>
  <si>
    <t>CCE-11||253</t>
  </si>
  <si>
    <t xml:space="preserve">Prestar el servicio de ejecución del mantenimiento de  los árboles sembrados por compensación en las diferentes instalaciones del UPN </t>
  </si>
  <si>
    <t>FUN-061</t>
  </si>
  <si>
    <t>CCE-11||254</t>
  </si>
  <si>
    <t>Prestar el servicio de la calibración de basculas de pesaje de residuos en las diferentes instalaciones</t>
  </si>
  <si>
    <t>FUN-062</t>
  </si>
  <si>
    <t>73152100;81141504</t>
  </si>
  <si>
    <t>CCE-11||255</t>
  </si>
  <si>
    <t>1322 SUBDIRECCIÓN DE ADMISIONES Y REGISTRO</t>
  </si>
  <si>
    <t>Prestar el servicio  de elaboración e impresión de los insumos que se requieren para cubrir las necesidades de la Subdirección de Admisiones y Registro de la Universidad Pedagógica Nacional.</t>
  </si>
  <si>
    <t>FUN-063</t>
  </si>
  <si>
    <t>CCE-11||145</t>
  </si>
  <si>
    <t>Adquirir carnés para la comunidad universitaria, atendiendo los requerimientos establecidos por la UPN</t>
  </si>
  <si>
    <t>FUN-064</t>
  </si>
  <si>
    <t>CCE-11||146</t>
  </si>
  <si>
    <t>Prestar el servicio logístico para el evento cultural Encuentro General de Egresados - Actividades artísticas, de entretenimiento y recreación</t>
  </si>
  <si>
    <t>FUN-065</t>
  </si>
  <si>
    <t>93141700;81141600</t>
  </si>
  <si>
    <t>CCE-11||150</t>
  </si>
  <si>
    <t>Amparar el pago de suscripción de la membresía del prefijo IPV6., en el marco del protocolo establecido por MinTIC en mediante Resolución 2710 de 2017.</t>
  </si>
  <si>
    <t>CCE-11||110</t>
  </si>
  <si>
    <t>Prestar los servicios de soporte para el Sistema Académico CLASS</t>
  </si>
  <si>
    <t>FUN-066</t>
  </si>
  <si>
    <t>81111800;81111812</t>
  </si>
  <si>
    <t>CCE-11||161</t>
  </si>
  <si>
    <t>Prestar los servicios de soporte y mantenimiento para el sistema de notas en uso del Instituto Pedagógico Nacional INTEGRA PLATAFORMA ACADEMICA</t>
  </si>
  <si>
    <t>FUN-067</t>
  </si>
  <si>
    <t>CCE-11||162</t>
  </si>
  <si>
    <t xml:space="preserve">Amparar la adición y prorroga al Contrato No.0642/2023 cuyo Objeto es  "Prestar los servicios de soporte para el Sistema Softland HCM software QUERYX 7" </t>
  </si>
  <si>
    <t>Adición</t>
  </si>
  <si>
    <t>FUN-068</t>
  </si>
  <si>
    <t xml:space="preserve">Amparar la adición y prorroga al Contrato No.0642/2023 cuyo Objeto es  Prestar los servicios de soporte para el Sistema Softland HCM software QUERYX 7 </t>
  </si>
  <si>
    <t>CCE-11||163</t>
  </si>
  <si>
    <t>Prestar los servicios de soporte y desarrollo para el Sistema de Gestión Documental software  Papiro Cloud en Nube</t>
  </si>
  <si>
    <t>FUN-069</t>
  </si>
  <si>
    <t>CCE-11||164</t>
  </si>
  <si>
    <t>2.1.2.01.01.005.02.03.01.02</t>
  </si>
  <si>
    <t>Gastos de desarrollo</t>
  </si>
  <si>
    <t>Prestar los servicios de soporte para el sistema integrado de gestión de bibliotecas software KOHA</t>
  </si>
  <si>
    <t>FUN-070</t>
  </si>
  <si>
    <t>CCE-11||165</t>
  </si>
  <si>
    <t>Amparar la adición y prorroga al Contrato No. 0681/2023 cuyo objeto es: Prestar los servicios de soporte para la Plataforma Software GOOBI</t>
  </si>
  <si>
    <t>FUN-071</t>
  </si>
  <si>
    <t>CCE-11||166</t>
  </si>
  <si>
    <t>Amparar la adición y prorroga al Contrato No. 0742/2023 Cuyo objeto es Prestar los servicios de soporte y mantenimiento para la planta telefónica de la Universidad Pedagógica Nacional</t>
  </si>
  <si>
    <t>FUN-072</t>
  </si>
  <si>
    <t>CCE-11||167</t>
  </si>
  <si>
    <t>Amparar la adición y prorroga al Contrato No. 843/2023 cuyo objeto es: Prestar los servicios de soporte para la Plataforma de Investigación para Maestros y Estudiantes PRIME</t>
  </si>
  <si>
    <t>FUN-073</t>
  </si>
  <si>
    <t>CCE-11||168</t>
  </si>
  <si>
    <t xml:space="preserve">Prestar los servicios de operación para la facturación electrónica de venta de la Universidad Pedagógica Nacional. </t>
  </si>
  <si>
    <t>FUN-074</t>
  </si>
  <si>
    <t>CCE-11||169</t>
  </si>
  <si>
    <t xml:space="preserve">Prestar el Servicios de mantenimiento y reparación de  maquinaria y otro equipo DATACENTER </t>
  </si>
  <si>
    <t>FUN-075</t>
  </si>
  <si>
    <t>CCE-11||172</t>
  </si>
  <si>
    <t>1328 CAPACITACIÓN</t>
  </si>
  <si>
    <t>Plan de capacitación para la vigencia 2024</t>
  </si>
  <si>
    <t>CAPACITACIÓN</t>
  </si>
  <si>
    <t>CCE-11||102</t>
  </si>
  <si>
    <t>1329 DIRECIÓN NACIONAL DOCTORADO</t>
  </si>
  <si>
    <t>Dirección Nacional Doctorado</t>
  </si>
  <si>
    <t>Suministrar alimento y bebidas para: a) reuniones de CAIDE, b) primer encuentro presencial por dos días de estudiantes del DIE, c) primer encuentro presencial  por dos días de profesores del DIE</t>
  </si>
  <si>
    <t>FUN-076</t>
  </si>
  <si>
    <t>CCE-11||144</t>
  </si>
  <si>
    <t>1330 FACULTAD DE BELLAS ARTES</t>
  </si>
  <si>
    <t xml:space="preserve">Realizar el mantenimiento de  equipos (luces y sonido) LAE de la Facultad de Bellas Artes - UPN. </t>
  </si>
  <si>
    <t>FUN-077</t>
  </si>
  <si>
    <t>72151500;73152100</t>
  </si>
  <si>
    <t>CCE-11||174</t>
  </si>
  <si>
    <t>Facultad de Bellas Artes</t>
  </si>
  <si>
    <t>Prestar el servicio de Lavado de Vestuario LAE de la Facultad de Bellas Artes - UPN.</t>
  </si>
  <si>
    <t>FUN-078</t>
  </si>
  <si>
    <t>CCE-11||175</t>
  </si>
  <si>
    <t>Prestar los servicios de mantenimiento para los  instrumentos musicales de la Facultad de Bellas Artes</t>
  </si>
  <si>
    <t>FUN-079</t>
  </si>
  <si>
    <t>CCE-11||176</t>
  </si>
  <si>
    <t>Prestar el servicio de mantenimiento para los equipos de laboratorios y talleres de los programas de la Facultad de Bellas Artes de la Universidad Pedagógica 
Nacional.</t>
  </si>
  <si>
    <t>FUN-080</t>
  </si>
  <si>
    <t>CCE-11||177</t>
  </si>
  <si>
    <t>Contratar el servicio de logística, preproducción y creación teatral con el fin de amparar las actividades de los Montajes correspondientes a los Procesos Autónomos de Creación - Teatro Circular 2024, de la Licenciatura en Artes Escénicas de la Facultad de Bellas Artes de la Universidad Pedagógica Nacional.</t>
  </si>
  <si>
    <t>FUN-081</t>
  </si>
  <si>
    <t>CCE-11||178</t>
  </si>
  <si>
    <t>Adquirir materiales y suministros necesarios para el desarrollo de las actividades académicas (Teatro 
Circular, Semana LAV, Curadurías, Interludios, Semana LAE y Prácticas Pedagógicas) de los programas de la Facultad de Bellas Artes de la Universidad Pedagógica 
Nacional.</t>
  </si>
  <si>
    <t>FUN-082</t>
  </si>
  <si>
    <t>39121300;23101500;27112800;27112833;27113200;27113201;14111828</t>
  </si>
  <si>
    <t>CCE-11||179</t>
  </si>
  <si>
    <t>39121300;23101500;27112800;
27112833;27113200;27113201;14111828</t>
  </si>
  <si>
    <t>CCE-11||180</t>
  </si>
  <si>
    <t>Contratar la adquisición de materiales y suministros necesarios para el desarrollo de la actividades  de la Facultad de Bellas Artes de la Universidad Pedagógica 
Nacional.</t>
  </si>
  <si>
    <t>FUN-083</t>
  </si>
  <si>
    <t>CCE-11||181</t>
  </si>
  <si>
    <t>Amparar la compra de un aire acondicionado y sus accesorios para la refrigeración de los servidores ubicados en el Datacenter de la Universidad Pedagógica Nacional, para mantener los niveles adecuados de refrigeración de los equipos</t>
  </si>
  <si>
    <t>Avance</t>
  </si>
  <si>
    <t>1340 FACULTAD DE CIENCIAS Y TECNOLOGÍA</t>
  </si>
  <si>
    <t>Suministrar materiales y reactivos para el Laboratorio del Departamento de Química de la Universidad Pedagógica Nacional.</t>
  </si>
  <si>
    <t>FUN-84</t>
  </si>
  <si>
    <t>12352200; 41121700; 41121800</t>
  </si>
  <si>
    <t>CCE-11||182</t>
  </si>
  <si>
    <t>CCE-11||183</t>
  </si>
  <si>
    <t>Suministrar materiales y reactivos para Laboratorio Bioclinico del Departamento de Biología de la Universidad Pedagógica Nacional.</t>
  </si>
  <si>
    <t>FUN-85</t>
  </si>
  <si>
    <t>CCE-11||184</t>
  </si>
  <si>
    <t>CCE-11||185</t>
  </si>
  <si>
    <t>Productos alimenticios bebidas y tabaco textiles prendas de vestir y productos de cuero</t>
  </si>
  <si>
    <t>CCE-11||186</t>
  </si>
  <si>
    <t>FUN-86</t>
  </si>
  <si>
    <t>Suministrar materiales para el Departamento de Matemáticas de la Universidad Pedagógica Nacional.</t>
  </si>
  <si>
    <t>FUN-87</t>
  </si>
  <si>
    <t>CCE-11||187</t>
  </si>
  <si>
    <t>Suministrar materiales y reactivos para los laboratorios u otros espacios académicos de la Facultad de Ciencias y Tecnología  de la Universidad Pedagógica Nacional.</t>
  </si>
  <si>
    <t>CCE-11||188</t>
  </si>
  <si>
    <t>CCE-11||189</t>
  </si>
  <si>
    <t>Prestar el servicio de mantenimiento para los equipos del  Laboratorio del Departamento de Física de la Universidad Pedagógica Nacional.</t>
  </si>
  <si>
    <t>FUN-88</t>
  </si>
  <si>
    <t>73152100; 81101700</t>
  </si>
  <si>
    <t>CCE-11||190</t>
  </si>
  <si>
    <t>1420 RESTAURANTE</t>
  </si>
  <si>
    <t>2.1.2.01.01.003.02.08</t>
  </si>
  <si>
    <t>Otra maquinaria para usos especiales y sus partes y piezas</t>
  </si>
  <si>
    <t>Adquirir el accesorio VS9 con cuchillas y araña para el cutter del restaurante de la Universidad Pedagogíca Nacional.</t>
  </si>
  <si>
    <t>FUN-89</t>
  </si>
  <si>
    <t>23181500; 23181600</t>
  </si>
  <si>
    <t>CCE-11||196</t>
  </si>
  <si>
    <t>1410 CAFETERÍA</t>
  </si>
  <si>
    <t>Suministrar los productos químicos de desinfección y limpieza requeridos para los restaurantes y cafeterías de la Universidad Pedagógica Nacional.</t>
  </si>
  <si>
    <t>FUN-90</t>
  </si>
  <si>
    <t>CCE-11||197</t>
  </si>
  <si>
    <t>Adquirir insumos para la producción de productos de panadería requeridos para las cafeterías de la Universidad Pedagógica Nacional.</t>
  </si>
  <si>
    <t>FUN-91</t>
  </si>
  <si>
    <t>50101700;50112000;50111500; 50121500;50131600;50131700;50131800;50151500;50161500;50171700;50171800;50181700;50181900;50192400;50192900;50193000;50201700;50221000;50221100;50221200;50221300</t>
  </si>
  <si>
    <t>CCE-11||202</t>
  </si>
  <si>
    <t>CCE-11||203</t>
  </si>
  <si>
    <t>CCE-11||204</t>
  </si>
  <si>
    <t>Suministrar los elementos de limpieza y cafetería requeridos para los restaurantes y cafeterías de la Universidad Pedagógica Nacional</t>
  </si>
  <si>
    <t>FUN-92</t>
  </si>
  <si>
    <t>47121800;52151600;52151700</t>
  </si>
  <si>
    <t>CCE-11||207</t>
  </si>
  <si>
    <t>CCE-11||208</t>
  </si>
  <si>
    <t>Prestar el servicio de transporte de alimentos, para los restaurantes y cafeterías de la Universidad Pedagógica Nacional.</t>
  </si>
  <si>
    <t>FUN-93</t>
  </si>
  <si>
    <t>78101800;93131600</t>
  </si>
  <si>
    <t>CCE-11||194</t>
  </si>
  <si>
    <t>Prestar el servicio para la recolección, transporte y disposición final de residuos sólidos orgánicos generados en los restaurantes y cafeterías de acuerdo a los horarios establecidos por la Universidad en las instalaciones de la UPN</t>
  </si>
  <si>
    <t>FUN-94</t>
  </si>
  <si>
    <t>CCE-11||195</t>
  </si>
  <si>
    <t>Realizar el mantenimiento preventivo y correctivo para los equipos del Restaurante</t>
  </si>
  <si>
    <t>FUN-95</t>
  </si>
  <si>
    <t>CCE-11||198</t>
  </si>
  <si>
    <t>Adquirir  y abastecer  los insumos requeridos, para prestar el servicio de restaurantes y cafeterías de la Universidad Pedagógica Nacional</t>
  </si>
  <si>
    <t>FUN-96</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</si>
  <si>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t>
  </si>
  <si>
    <t>CCE-11||199</t>
  </si>
  <si>
    <t>CCE-11||200</t>
  </si>
  <si>
    <t>CCE-11||201</t>
  </si>
  <si>
    <t>Adquirir menaje para el restaurante  de la Universidad Pedagógica Nacional.</t>
  </si>
  <si>
    <t>FUN-97</t>
  </si>
  <si>
    <t>CCE-11||205</t>
  </si>
  <si>
    <t>CCE-11||206</t>
  </si>
  <si>
    <t>Prestar el servicio de catering para eventos institucionales de la Universidad Pedagógica Nacional.</t>
  </si>
  <si>
    <t>FUN-98</t>
  </si>
  <si>
    <t>CCE-11||209</t>
  </si>
  <si>
    <t>1430 DEPORTE</t>
  </si>
  <si>
    <t>Adquirir elementos deportivos para el área de  SBU con el fin de contribuir con el bienestar de los estudiantes de la UPN.</t>
  </si>
  <si>
    <t>FUN-099</t>
  </si>
  <si>
    <t>49161600;49161500</t>
  </si>
  <si>
    <t>CCE-11||235</t>
  </si>
  <si>
    <t>Adquirir los uniformes para los estudiantes y funcionarios que representan a la Universidad Pedagógica Nacional en los
encuentros deportivos.</t>
  </si>
  <si>
    <t>FUN-100</t>
  </si>
  <si>
    <t>53121500;53101600;53102700;53102900</t>
  </si>
  <si>
    <t>CCE-11||236</t>
  </si>
  <si>
    <t>Amparar el pago de la inscripción juegos Distritales  -  ASCUN.</t>
  </si>
  <si>
    <t>CCE-11||237</t>
  </si>
  <si>
    <t>Amparar el pago de la inscripción juegos Nacionales -  ASCUN.</t>
  </si>
  <si>
    <t>CCE-11||239</t>
  </si>
  <si>
    <t>Prestar los servicios como operador
logístico para atender el desplazamiento,
alojamiento y alimentación de la delegación de la Universidad Pedagógica
Nacional. (Participación deportiva organizada por ASCUN.</t>
  </si>
  <si>
    <t>FUN-101</t>
  </si>
  <si>
    <t>CCE-11||240</t>
  </si>
  <si>
    <t>1440 CULTURA</t>
  </si>
  <si>
    <t>2.1.2.01.01.004.01.02</t>
  </si>
  <si>
    <t>Instrumentos musicales</t>
  </si>
  <si>
    <t>Realizar la adquisición de instrumentos del programa de Cultura de la SBU de la Universidad Pedagógica Nacional</t>
  </si>
  <si>
    <t>FUN-102</t>
  </si>
  <si>
    <t>60131000;60131100;60131200;60131300;60131400;60131600;60131800</t>
  </si>
  <si>
    <t>CCE-11||227</t>
  </si>
  <si>
    <t>Adquirir elementos y materiales para el área de cultura de la SBU de la Universidad Pedagógica Nacional.</t>
  </si>
  <si>
    <t>FUN-103</t>
  </si>
  <si>
    <t>11151500;11151600;11151700;53102200;53102202;53102204</t>
  </si>
  <si>
    <t>CCE-11||232</t>
  </si>
  <si>
    <t>CCE-11||233</t>
  </si>
  <si>
    <t>1450 BIENVENIDA ESTUDIANTES</t>
  </si>
  <si>
    <t>Adquirir agendas institucionales para  las Bienvenida de estudiantes de la UPN.</t>
  </si>
  <si>
    <t>FUN-104</t>
  </si>
  <si>
    <t>CCE-11||215</t>
  </si>
  <si>
    <t>Prestar los servicios en atención psicológica y psiquiátrica,  para brindar una atención prioritaria a los estudiantes de la universidad Pedagógica Nacional.</t>
  </si>
  <si>
    <t>FUN-105</t>
  </si>
  <si>
    <t>CCE-11||216</t>
  </si>
  <si>
    <t>Realizar el mantenimiento preventivo y Correctivo de Equipos de la Unidad Odontológica y de salud de la universidad Pedagógica Nacional.</t>
  </si>
  <si>
    <t>FUN-106</t>
  </si>
  <si>
    <t>73152100;81101700;81141500;85161500</t>
  </si>
  <si>
    <t>CCE-11||217</t>
  </si>
  <si>
    <t>Adquirir insumos odontológicos, requeridos para el normal funcionamiento y prestación del servicio del Programa de Salud de la Subdirección de Bienestar Universitario</t>
  </si>
  <si>
    <t>FUN-107</t>
  </si>
  <si>
    <t>CCE-11||218</t>
  </si>
  <si>
    <t>CCE-11||219</t>
  </si>
  <si>
    <t>CCE-11||220</t>
  </si>
  <si>
    <t xml:space="preserve">Adquirir insumos médicos y de fisioterapia, requeridos para el normal funcionamiento y prestación del servicio del Programa de Salud de la Subdirección de Bienestar Universitario </t>
  </si>
  <si>
    <t>FUN-108</t>
  </si>
  <si>
    <t>51211600;51142100;42141500;42142500;42142600;42192600;42132200</t>
  </si>
  <si>
    <t>51211600; 51142100;42141500;42142500;42142600; 42192600;42132200</t>
  </si>
  <si>
    <t>2.1.2.01.01.003.06.01</t>
  </si>
  <si>
    <t>Aparatos médicos y quirúrgicos y aparatos ortésicos y protésicos</t>
  </si>
  <si>
    <t>42192210;42171600</t>
  </si>
  <si>
    <t>2.1.2.01.01.003.06.02 </t>
  </si>
  <si>
    <t>2.1.2.01.01.004.01.03</t>
  </si>
  <si>
    <t>Artículos de deporte</t>
  </si>
  <si>
    <t>CCE-11||224</t>
  </si>
  <si>
    <t>Adquirir elementos para la  SBU de la Universidad Pedagógica Nacional.</t>
  </si>
  <si>
    <t>FUN-109</t>
  </si>
  <si>
    <t>11151700;11161500;11161600;11161700;11162200; 14111500;44121700;31211500;60121100;27112300</t>
  </si>
  <si>
    <t>CCE-11||211</t>
  </si>
  <si>
    <t>CCE-11||212</t>
  </si>
  <si>
    <t>CCE-11||213</t>
  </si>
  <si>
    <t>Prestar los servicios logísticos para las diferentes actividades lúdico-deportivas, programadas desde la Subdirección de Bienestar Universitario.</t>
  </si>
  <si>
    <t>FUN-110</t>
  </si>
  <si>
    <t>CCE-11||214</t>
  </si>
  <si>
    <t>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t>
  </si>
  <si>
    <t>FUN-111</t>
  </si>
  <si>
    <t>CCE-11||147</t>
  </si>
  <si>
    <t>Prestar los servicios de Vacunación de (tétanos, influenza )</t>
  </si>
  <si>
    <t>FUN-112</t>
  </si>
  <si>
    <t>CCE-11||249</t>
  </si>
  <si>
    <t>Prestar el servicio de análisis de puesto de trabajo para procesos de calificación de origen de enfermedad cuando sea solicitado por la EPS o ARL</t>
  </si>
  <si>
    <t>FUN-113</t>
  </si>
  <si>
    <t>CCE-11||250</t>
  </si>
  <si>
    <t>Amparar la contratación de la aplicación de batería de riesgo psicosocial a los funcionarios, trabajadores oficiales, docentes y supernumerarios de la Universidad, dando cumplimiento a la política institucional de SST , al programa de prevención de riesgo psicosocial, a la Resolución 2646 de 2008 y Resolución 2764 de 2022 "por la cual se establecen disposiciones y se definen responsabilidades para la identificación, evaluación e intervención  de los factores psicosociales y sus efectos en la población trabajadora y se dictan otras disposiciones”</t>
  </si>
  <si>
    <t>FUN-114</t>
  </si>
  <si>
    <t>CCE-11||263</t>
  </si>
  <si>
    <t>1630 CENTRO DE LENGUAS</t>
  </si>
  <si>
    <t>Centro de Lenguas</t>
  </si>
  <si>
    <t>2.1.5.01.03</t>
  </si>
  <si>
    <t>Adquirir elementos de papelería y oficina para el desarrollo de las actividades administrativas y académicas del Centro de Lenguas.</t>
  </si>
  <si>
    <t>FUN-115</t>
  </si>
  <si>
    <t>44121708 - 31201500 - 44111912 -  44121622 - 44121701 - 30266501 - 44121801</t>
  </si>
  <si>
    <t>CCE-11||264</t>
  </si>
  <si>
    <t>2.1.5.01.04</t>
  </si>
  <si>
    <t>Productos metálicos, maquinaria y equipo</t>
  </si>
  <si>
    <t xml:space="preserve"> 39121700 - 26121600 - 44122112 - 23111702</t>
  </si>
  <si>
    <t>2.1.5.01.02</t>
  </si>
  <si>
    <t>Productos alimentición, bebidas y tabaco; textiles prendas de vestir y productos de cuero.</t>
  </si>
  <si>
    <t xml:space="preserve"> Suministrar la elaboración e impresión de carnés y adhesivos de  refrendación que se requieran para  cubrir las necesidades del Centro de Lenguas.</t>
  </si>
  <si>
    <t>FUN-116</t>
  </si>
  <si>
    <t>82101500;82101502;82101505</t>
  </si>
  <si>
    <t>CCE-11||266</t>
  </si>
  <si>
    <t>Adquirir los insumos necesarios para las adecuaciones y mantenimiento de los espacios físicos del edificio de la Calle 79 del Centro de Lenguas.</t>
  </si>
  <si>
    <t>FUN-117</t>
  </si>
  <si>
    <t xml:space="preserve">31211501;31211502;31211505;31211803;31211904;31211906 </t>
  </si>
  <si>
    <t>CCE-11||267</t>
  </si>
  <si>
    <t>2.1.5.02.06</t>
  </si>
  <si>
    <t>Comercio y distribución; alojamiento; servicios de suministro de comidas y bebidas; servicios de transporte; y servicios de distribución de electricidad, gas y agua</t>
  </si>
  <si>
    <t>Pago servicio energía de  las instalaciones del Centro de Lenguas</t>
  </si>
  <si>
    <t>CCE-11||268</t>
  </si>
  <si>
    <t>Pago  servicio de agua  de  las instalaciones del Centro de Lenguas</t>
  </si>
  <si>
    <t>CCE-11||269</t>
  </si>
  <si>
    <t>2.1.5.02.07</t>
  </si>
  <si>
    <t>Servicios financieros y servicios conexos; servicios inmobiliarios; y servicios de arrendamiento y leasing</t>
  </si>
  <si>
    <t>Amparar el canon de arrendamiento del Contrato No.  363 de 2005 - 
Edificio Centro de Lenguas - ubicado en la calle 79 No. 16-32 de la ciudad de Bogotá D.C., Según  Acuerdo 026 del 24 de octubre  de 2023, del Consejo Superior - Vigencia futura 2024..</t>
  </si>
  <si>
    <t>CCE-11||270</t>
  </si>
  <si>
    <t>2.1.5.02.08</t>
  </si>
  <si>
    <t>Pago de servicio telefonía de las instalaciones del Centro de Lenguas</t>
  </si>
  <si>
    <t>CCE-11||271</t>
  </si>
  <si>
    <t>1630 Centro de Lenguas</t>
  </si>
  <si>
    <t>se adiciona para cuadrar presupuesto</t>
  </si>
  <si>
    <t>Diseñar y ejecutar una estrategia comunicativa de posicionamiento en redes, que incluya diseño de piezas gráficas, microvideos, redacción de copys, campaña y pauta en Google Ads, incluida la administración de redes sociales, de conformidad a lo requerido por el Centro de Lenguas.</t>
  </si>
  <si>
    <t>FUN-118</t>
  </si>
  <si>
    <t>82101801 - 82101802</t>
  </si>
  <si>
    <t>CCE-11||273</t>
  </si>
  <si>
    <t>2.1.2.01.01.005.02.05</t>
  </si>
  <si>
    <t>Otros productos de propiedad intelectual</t>
  </si>
  <si>
    <t>Adquirir códigos de acceso necesarios para la realización de los cursos de inglés con metodología a distancia con estrategia de educación virtual a desarrollar por parte del Centro de Lenguas para el primer semestre de la vigencia 2024.</t>
  </si>
  <si>
    <t>FUN-119</t>
  </si>
  <si>
    <t>60103700; 60103704</t>
  </si>
  <si>
    <t>CCE-11||272</t>
  </si>
  <si>
    <t>1640 IPN</t>
  </si>
  <si>
    <t>IPN</t>
  </si>
  <si>
    <t xml:space="preserve">Prestar el servicio de la elaboración e impresión de  agendas entre otros elementos institucionales de acuerdo a las necesidades del Instituto Pedagógico Nacional
</t>
  </si>
  <si>
    <t>FUN-120</t>
  </si>
  <si>
    <t>82101500;44111500</t>
  </si>
  <si>
    <t>CCE-11||88</t>
  </si>
  <si>
    <t>Prestar el servicio de impresión de diplomas, placa, copa y demás menciones de honor de acuerdo a los archivos finales aprobados por el Instituto Pedagógico Nacional para la promoción de graduandos 2024 del IPN.</t>
  </si>
  <si>
    <t>FUN-121</t>
  </si>
  <si>
    <t>CCE-11||89</t>
  </si>
  <si>
    <t>Adquirir equipos de comunicación para las aulas académicas y sus respectivos soportes y bases para su instalación con el fin de contribuir con el bienestar de los estudiantes del Instituto Pedagógico Nacional</t>
  </si>
  <si>
    <t>FUN-122</t>
  </si>
  <si>
    <t>CCE-11||90</t>
  </si>
  <si>
    <t>52161500; 52161505</t>
  </si>
  <si>
    <t>CCE-11||91</t>
  </si>
  <si>
    <t>Adquirir mobiliario (muebles y escritorios) para las oficinas administrativas y académicas del  IPN</t>
  </si>
  <si>
    <t>FUN-123</t>
  </si>
  <si>
    <t>56111500;56111800; 56112100;56112200;56111700</t>
  </si>
  <si>
    <t xml:space="preserve">Adquirir bases para televisores de las aulas académicas y sus respectivos soportes con el fin de contribuir con el bienestar de los estudiantes del Instituto Pedagógico Nacional  </t>
  </si>
  <si>
    <t>FUN-124</t>
  </si>
  <si>
    <t>Gastos por Caja Menor - IPN</t>
  </si>
  <si>
    <t>CCE-11||92</t>
  </si>
  <si>
    <t>Realizar reparaciones locativas  del Instituto Pedagógico Nacional</t>
  </si>
  <si>
    <t>FUN-125</t>
  </si>
  <si>
    <t>72102900;72103300</t>
  </si>
  <si>
    <t>CCE-11||152</t>
  </si>
  <si>
    <t>Adquirir elementos para el tamizaje de talla y peso para los niños y niñas de la Sección de Educación Inicial IPN (Escuela Maternal)</t>
  </si>
  <si>
    <t>FUN-126</t>
  </si>
  <si>
    <t>41111500; 27111800</t>
  </si>
  <si>
    <t>CCE-11||155</t>
  </si>
  <si>
    <t> Otra maquinaria para usos especiales y sus partes y piezas.</t>
  </si>
  <si>
    <t xml:space="preserve">1650 EMISORA </t>
  </si>
  <si>
    <t xml:space="preserve">Prestar el servicio de streaming de RadioBoss, con licencia de
automatizador de Radio AzuraCats, para el sitio
web radio.upn.edu.co
</t>
  </si>
  <si>
    <t>FUN-127</t>
  </si>
  <si>
    <t>CCE-11||170</t>
  </si>
  <si>
    <t>Prestar el servicio de soporte del sitio Web Wordpress de la emisora.  - EMISORA</t>
  </si>
  <si>
    <t>FUN-128</t>
  </si>
  <si>
    <t>CCE-11||171</t>
  </si>
  <si>
    <t xml:space="preserve">Amparar el canon de arrendamiento de los Contratos No. 898 de 2003 - Cra 22 # 73-31 Casa 1 Escuela Maternal, Contrato No. 899 de 2003 - Cra 22 # 73-45. Casa 2 Escuela Maternal, Contrato No.001 de 2012 - Edificio Administrativo calle 79,  para la Facultad de Bellas Artes  inmueble ubicado en la carrera 9 No. 70- 69 en Bogotá D.C 
</t>
  </si>
  <si>
    <t xml:space="preserve">1000 SERVICIO DE LA DEUDA </t>
  </si>
  <si>
    <t>Vicerrectoría Administrativa y Financiera</t>
  </si>
  <si>
    <t>2.2.2.02.02.002.02.03</t>
  </si>
  <si>
    <t xml:space="preserve">Banca comercial </t>
  </si>
  <si>
    <t>FUN-129</t>
  </si>
  <si>
    <t>CCE-11||03</t>
  </si>
  <si>
    <t>1390 ETICT</t>
  </si>
  <si>
    <t xml:space="preserve">ETICT </t>
  </si>
  <si>
    <t>PAGOS ETICT</t>
  </si>
  <si>
    <t xml:space="preserve">ETICT - FUN-130 </t>
  </si>
  <si>
    <t>CCE-11||134</t>
  </si>
  <si>
    <t>Prestar el servicio de montaje del stand de la Universidad Pedagógica Nacional en Expo Estudiante 2024 y montaje Stand. - SAD</t>
  </si>
  <si>
    <t>FUN-131</t>
  </si>
  <si>
    <t>CCE-11||151</t>
  </si>
  <si>
    <t xml:space="preserve">Adicionar el contrato de prestación de servicios No 005 de 2023, cuyo objeto es "Contratar la prestación del servicio de vigilancia y seguridad privada para las personas y bienes muebles e inmuebles de la Universidad Pedagógica Nacional" </t>
  </si>
  <si>
    <t>FUN-132</t>
  </si>
  <si>
    <t>Adicionar el contrato de prestación de servicios No 004 de 2023, cuyo objeto es "Contratar el servicio de aseo y cafetería para la Universidad Pedagógica Nacional"</t>
  </si>
  <si>
    <t>FUN-133</t>
  </si>
  <si>
    <t>Adquirir equipos para grabación y sus accesorios para la Subdirección de Recursos Educativos de la Universidad Pedagógica Nacional</t>
  </si>
  <si>
    <t>FUN-134</t>
  </si>
  <si>
    <t>45121500;45121600</t>
  </si>
  <si>
    <t>Amparar el pago de los gastos de la bienvenida de los estudiantes nuevos del semestre 2024-1</t>
  </si>
  <si>
    <t xml:space="preserve">Amparar los gastos en el desarrollo de la reunión con la secretaría de Educación del Magdalena y la Universidad Pedagógica Nacional.
</t>
  </si>
  <si>
    <t>1331 CAPACITACIÓN</t>
  </si>
  <si>
    <t>Minerales, electricidad gas y agua</t>
  </si>
  <si>
    <t>Aparatos de uso doméstico y sus partes y sus piezas</t>
  </si>
  <si>
    <t>Amparar la compra de una picadora y sus accesorios, así como el menaje para el servicio del restaurante para estudiantes en las instalaciones de la calle 72 de la Universidad Pedagógica Nacional.</t>
  </si>
  <si>
    <t>AVANCE</t>
  </si>
  <si>
    <t>Prestar el servicio de muestreo microbiológico de alimentos del restaurante y cafeterias de la Universidad Pedagógica Nacional</t>
  </si>
  <si>
    <t>FUN-135</t>
  </si>
  <si>
    <t>Amparar el pago de seguimiento, evaluación de los conceptos técnicos SSFFS0207, SSFFS11033, SSFFS0165, SSFFS12212, SSFFS12900 y compensación del concepto técnico SSFFS11033.</t>
  </si>
  <si>
    <t xml:space="preserve">Amparar el canon de arrendamiento del Contrato de Arriendo No.001 de 2012 - Edificio Administrativo - Ubicado en la Cra.16 A No. 79-08 de la ciudad de Bogotá D.C., hasta el 30 de junio de 2024. </t>
  </si>
  <si>
    <t>Adicionar el Contrato de Arriendo No.001 de 2012 - Edificio Administrativo – Ubicado en la Cra. 16 A No. 79-08 de la ciudad de Bogotá D.C., hasta el 30 de junio de 2024</t>
  </si>
  <si>
    <t>Amparar el canon de arrendamiento del Contrato de Arriendo No.536 de 2021 - Inmueble ubicado en la carrera 9 No. 70- 69 de la ciudad de Bogotá D.C., hasta el 30 de junio de 2024.</t>
  </si>
  <si>
    <t>Adición Contrato 572 de 2022 con Objeto: "Contratar un servicio de renta de equipo con soporte para la ampliación del sistema de mantenimiento SAN (Storage Área Network) del Data Center de la Universidad Pedagógica Nacional."</t>
  </si>
  <si>
    <t xml:space="preserve">Servicios financieros y servicios conexos; servicios inmobiliarios; y servicios de arrendamiento y leasing. </t>
  </si>
  <si>
    <t>Adquirir códigos de acceso al examen en línea Oxford Placement Test, para evaluar el dominio, conocimiento y nivel del idioma inglés de los tutores aspirantes a contratistas y de aquellos ya contratados del equipo académico del Centro de Lenguas.</t>
  </si>
  <si>
    <t>FUN-136</t>
  </si>
  <si>
    <t>Amparar la compra del Equipo destapador de cañerías (uso industrial) y sus accesorios, con el fin de atender la urgencia presentada en el sótano del Edificio A de las instalaciones de la Universidad Pedagógica Nacional por las fuertes lluvias.</t>
  </si>
  <si>
    <t>Amparar el pago de la inscripción del Centro de Egresados de la UPN al Encuentro Nacional de Egresados.</t>
  </si>
  <si>
    <t>FUN-137</t>
  </si>
  <si>
    <t>Amparar el pago de viaticos y gastos de viaje funcionario egesados, para la participación del Encuentro Nacional de Egresados.</t>
  </si>
  <si>
    <t>Prestar el servicio para la elaboración e impresión del material de divulgación requerido por la Universidad Pedagógica Nacional, para espacios institucionales a cargo del Centro de Egresados.</t>
  </si>
  <si>
    <t>FUN-138</t>
  </si>
  <si>
    <r>
      <t>Prestar los servicios para la </t>
    </r>
    <r>
      <rPr>
        <sz val="12"/>
        <color rgb="FF000000"/>
        <rFont val="Calibri"/>
        <family val="2"/>
        <scheme val="minor"/>
      </rPr>
      <t>demarcación y mantenimiento de las canchas deportivas de las Instalaciones de Valmaría -  UPN</t>
    </r>
  </si>
  <si>
    <t>FUN-139</t>
  </si>
  <si>
    <t>Amparar el apoyo económico por concepto de transporte y alimentación a la profesora DUARTE PINILLA NATALIA ANDREA, para que participe en el Campeonato Panamericano de Ciclomontañismo en Midway, Utha, USA.</t>
  </si>
  <si>
    <t>Adición al contrato 841 del 2023, con objeto "Realizar la prestación de los servicios de soporte y mantenimiento de los componentes del DATACENTER (Sistema de UPS, Sistema de Aires Acondicionados, Sistema Contra Incendio, Sistema CCTV, Sistema Control Acceso, Sistema Monitoreo Ambiental) de la Universidad Pedagógica Nacional"</t>
  </si>
  <si>
    <t>FUN-140</t>
  </si>
  <si>
    <t>Adquirir Equipo de cómputo para la oficina de la ORI de la Universidad Pedagógica Nacional, como reposición según Resolución No. 160 del 17 de abril del 2024.</t>
  </si>
  <si>
    <t>FUN-141</t>
  </si>
  <si>
    <t>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t>
  </si>
  <si>
    <t>FUN-142</t>
  </si>
  <si>
    <t>80111600;85121600</t>
  </si>
  <si>
    <t>Prestar el servicio de mantenimiento para los equipos del Laboratorio Bioclinico del Departamento de Biología de la Universidad Pedagógica Nacional.</t>
  </si>
  <si>
    <t>FUN-143</t>
  </si>
  <si>
    <t>Prestar el servicio de mantenimiento para los equipos del Laboratorio del Departamento de Biología de la Universidad Pedagógica Nacional.</t>
  </si>
  <si>
    <t>FUN-144</t>
  </si>
  <si>
    <t>Adquisición de vestuario para la participación de los integrantes de los Grupos de Representación Institucional del Programa de Cultura de la SBU en espacios de relacionamiento institucional e interinstitucional, que permita la construcción de sentidos e identidad a partir de acciones y manifestaciones artísticas y culturales de orden representativo</t>
  </si>
  <si>
    <t>FUN-145</t>
  </si>
  <si>
    <t>Amparar el pago de la inscripción de los Grupos de Representación Institucional del Programa de Cultura de la SBU en los Festivales ASCUN Cultura – Nodo Bogotá</t>
  </si>
  <si>
    <t xml:space="preserve">Presentar la obra de teatro "Sensibilizar y promover el desarrollo de habilidades socioemocionales para la vida de la comunidad de la Universidad Pedagógica Nacional" </t>
  </si>
  <si>
    <t>FUN-146</t>
  </si>
  <si>
    <t xml:space="preserve">Adicionar al Contrato No. 202 del 2024 cuyo objeto es "Realizar el mantenimiento  preventivo y correctivo a la flota vehicular de la Universidad Pedagógica Nacional" </t>
  </si>
  <si>
    <t>FUN-147</t>
  </si>
  <si>
    <t>Suministrar paneles LED, reflectores, y luminarias para las  diferentes instalaciones de la Universidad Pedagógica Nacional.</t>
  </si>
  <si>
    <t>FUN-148</t>
  </si>
  <si>
    <t>39111611; 25172906; 39101600; 39101800; 39101900;39111505; 39111521</t>
  </si>
  <si>
    <t>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t>
  </si>
  <si>
    <t>FUN-149</t>
  </si>
  <si>
    <t>78101500;78101800</t>
  </si>
  <si>
    <t>Adicion al Contrato  de Arriendo No.001 de 2012 - Edificio Administrativo ubicado en la Cra. 16 A No. 79-08 de la ciudad de Bogotá D.C, hasta el 30 de septiembre de 2024.</t>
  </si>
  <si>
    <t>Adicion al Contrato de  Arriendo No.536 de 2021 – Edificio Posgrados Ubicado en la carrera 9 No. 70- 69 de la ciudad de Bogotá D.C, hasta el 31 de diciembre de 2024. </t>
  </si>
  <si>
    <t>Adicion al Contrato  de  Arrendamiento No. 401 de 2022 – inmueble ubicado en la calle 78 No 9-53 de la ciudad de Bogotá D.C, hasta el 31 de diciembre de 2024.</t>
  </si>
  <si>
    <t>Adquirir la dotación para los funcionarios administrativos planta, provisionales y supernumerarios (caballeros) vigencia  2024</t>
  </si>
  <si>
    <t>FUN-150</t>
  </si>
  <si>
    <t>Adquirir la dotación para los funcionarios administrativos planta, provisionales y supernumerarios (damas) vigencia   2024. </t>
  </si>
  <si>
    <t>FUN-151</t>
  </si>
  <si>
    <t>Prestar el servicio siembra de árboles de compensación  en cumplimiento de los conceptos técnicos emitidos por la Secretaría Distrital de Ambiente</t>
  </si>
  <si>
    <t>FUN-152</t>
  </si>
  <si>
    <t>Adquirir insumos, herramientas y elementos para realizar el mantenimiento preventivo y correctivo de los equipos de cómputo de la Universidad Pedagógica Nacional (parque computacional de la UPN)</t>
  </si>
  <si>
    <t>FUN-153</t>
  </si>
  <si>
    <t>43211600; 43211700; 27111700; 12352100;39121400</t>
  </si>
  <si>
    <t>2.1.2.01.01.003.01.02</t>
  </si>
  <si>
    <t>Bombas, compresores, motores de fuerza hidráulica y motores de potencia neumática y válvulas y sus partes y piezas</t>
  </si>
  <si>
    <t>Prestar el servicio para ejecutar los ciclos de poda 3 y 4 autorizados en el Concepto Técnico 00371 de 2023 emitido por la SDA</t>
  </si>
  <si>
    <t>FUN-154</t>
  </si>
  <si>
    <t xml:space="preserve">Adicion al Contrato de Suministro No 597 de 2023 cuyo objeto es "Suministrar materiales de construcción, ferretería y plomería para las adecuaciones y mantenimientos que se
realizan en las diferentes instalaciones de la Universidad Pedagógica Nacional". </t>
  </si>
  <si>
    <t>FUN-155</t>
  </si>
  <si>
    <t>Prestar el servicio de mantenimiento preventivo y/o correctivo a equipos mecánicos y electrónicos de tecnología clásica y a cabinas de extracción de vapores ubicados en el Laboratorio del Departamento de Química de la Universidad Pedagógica Nacional.</t>
  </si>
  <si>
    <t>FUN-156</t>
  </si>
  <si>
    <t>Prestar el servicio de mantenimiento preventivo y/o correctivo a equipos electrónicos de tecnología moderna ubicados en el Laboratorio del Departamento de Química de la Universidad Pedagógica Nacional.</t>
  </si>
  <si>
    <t>FUN-157</t>
  </si>
  <si>
    <t>Prestar  los servicios para atender las actividades relacionadas con la participación de la delegación de la Universidad Pedagógica Nacional en los Juegos Universitarios 2024-2</t>
  </si>
  <si>
    <t>FUN-158</t>
  </si>
  <si>
    <t>2.1.2.01.01.003.04.06</t>
  </si>
  <si>
    <t>Otro equipo eléctrico y sus partes y piezas</t>
  </si>
  <si>
    <t>Adquirir alarmas de evacuación para las diferentes instalaciones de la Universidad Pedagógica Nacional.</t>
  </si>
  <si>
    <t>FUN-159</t>
  </si>
  <si>
    <t>Adquisición de equipos y accesorios para la realización de las diferentes actividades de los programas de la Subdirección de Bienestar Universitario</t>
  </si>
  <si>
    <t>FUN-160</t>
  </si>
  <si>
    <t>Radiorreceptores y receptores de televisión; aparatos para la grabación y reproducción de sonido y video; micrófonos, altavoces,
amplificadores, etc.</t>
  </si>
  <si>
    <t>39112500;52161500;45111700;52161600;45111500;39121400</t>
  </si>
  <si>
    <t>Adquirir carpas, para atender los diferentes eventos institucionales organizados por la Subdirección de Bienestar Universitario</t>
  </si>
  <si>
    <t>FUN-161</t>
  </si>
  <si>
    <t>Adición del Contrato N° 248 del 2024, cuyo objeto es "Prestar los servicios logísticos para las diferentes actividades lúdico-deportivas, programadas desde la Subdirección de Bienestar Universitario".</t>
  </si>
  <si>
    <t>FUN-162</t>
  </si>
  <si>
    <t xml:space="preserve">Amparar el pago del deducible correspondiente a la liquidación de indemnización del Seguros de Responsabilidad Civil Póliza No. 1007796 - SINIESTRO No 30720 CASO ONBASE No 272548 a favor del señor Cesar Augusto Calderón Silva.  
</t>
  </si>
  <si>
    <t>Prestar el servicio de tala de dos árboles autorizados por emergencia en el acta de visita de silvicultura 25122  en el IPN</t>
  </si>
  <si>
    <t>FUN-163</t>
  </si>
  <si>
    <r>
      <t xml:space="preserve">Amparar la compra de equipos, para abastecer el servicio de agua potable en la sección de educación inicial IPN (escuela maternal), en el marco </t>
    </r>
    <r>
      <rPr>
        <sz val="12"/>
        <color rgb="FF333333"/>
        <rFont val="Arial"/>
        <family val="2"/>
      </rPr>
      <t>las medidas de racionamiento de agua en la ciudad de Bogotá.</t>
    </r>
  </si>
  <si>
    <r>
      <t>Adición al contrato 269 de 2024 con objeto “Suministrar elementos de aseo y desinfección para los diferentes predios de la Universidad Pedagógica Nacional</t>
    </r>
    <r>
      <rPr>
        <sz val="12"/>
        <color theme="1"/>
        <rFont val="Calibri"/>
        <family val="2"/>
        <scheme val="minor"/>
      </rPr>
      <t>”</t>
    </r>
  </si>
  <si>
    <t>FUN-164</t>
  </si>
  <si>
    <t>47121500; 55121900;47131600;13111000;12352100</t>
  </si>
  <si>
    <t>Adquirir pupitres y tableros para el desarrollo de las actividades académicas en el marco de la estrategia para la ampliación de la cobertura de educación de la Universidad Pedagógica Nacional</t>
  </si>
  <si>
    <t>FUN-165</t>
  </si>
  <si>
    <t>41111905; 52121500; 52121506</t>
  </si>
  <si>
    <t>FUN-166</t>
  </si>
  <si>
    <t>FUN-167</t>
  </si>
  <si>
    <t>Prestar los servicios para el desarrollo de un programa piloto para la atención de promoción y prevención interdisciplinar a las necesidades y condiciones de salud mental, identificada en la comunidad estudiantil para la reducción de riesgo en la deserción.</t>
  </si>
  <si>
    <t>FUN-168</t>
  </si>
  <si>
    <t>Adición al contrato No. 153 del 2024 cuyo objeto es "Adquirir carnés para la comunidad universitaria, atendiendo los requerimientos establecidos por la UPN"</t>
  </si>
  <si>
    <t>FUN-169</t>
  </si>
  <si>
    <t>Adquirir unidad odontologica, requerida para el funcionamiento del programa de Salud de la SBU.</t>
  </si>
  <si>
    <t>FUN-170</t>
  </si>
  <si>
    <t>Adición al contrato 276 del 2024 cuyo objeto es "Prestar el servicio de transporte terrestre para las salidas académicas y administrativas de la Universidad Pedagógica Nacional"</t>
  </si>
  <si>
    <t>Adicón</t>
  </si>
  <si>
    <t>FUN-171</t>
  </si>
  <si>
    <t>Prestar los servicios logísticos para el desarrollo de las actividades en el marco de la Bienvenida para el Semestre s 2024-II</t>
  </si>
  <si>
    <t>FUN-172</t>
  </si>
  <si>
    <t xml:space="preserve">Proporcionar los souvenir, para promover e incetivar la participación de la comunidad estudiantil en las actividades ludico-deportivas  y culturales  en el marco de la Bienvenida para el Semestre  2024-II </t>
  </si>
  <si>
    <t>FUN-173</t>
  </si>
  <si>
    <t>24111500; 53103000</t>
  </si>
  <si>
    <t>Amparar el pago de la inscripción a los juegos Universitarios Nacionales de Funcionarios Boyacá 2024.</t>
  </si>
  <si>
    <t>Suministrar materiales, reactivos y equipos para el Laboratorio del Departamento de Física de la Universidad Pedagógica Nacional.</t>
  </si>
  <si>
    <t>FUN-174</t>
  </si>
  <si>
    <t>2.1.2.01.01.003.01.04</t>
  </si>
  <si>
    <t>Hornos, quemadores para alimentación de hogar y sus partes y piezas</t>
  </si>
  <si>
    <t>2.1.2.01.01.003.02.02</t>
  </si>
  <si>
    <t xml:space="preserve">Máquinas, herramientas y sus partes, piezas y accesorio. </t>
  </si>
  <si>
    <t>Suministrar materiales y reactivos para el Laboratorio del Departamento de Biología de la Universidad Pedagógica Nacional.</t>
  </si>
  <si>
    <t>FUN-175</t>
  </si>
  <si>
    <t>2.1.2.01.01.003.06.03</t>
  </si>
  <si>
    <t>Instrumentos ópticos y equipos fotográficos, partes, piezas y accesorios</t>
  </si>
  <si>
    <t>Suministrar materiales, reactivos y equipos para el Laboratorio del Departamento de Biología de la Universidad Pedagógica Nacional.</t>
  </si>
  <si>
    <t xml:space="preserve"> Instrumentos y aparatos de medición, verificación, análisis, de navegación y para otros fines (excepto instrumentos ópticos): instrumentos de control de procesos industriales, sus partes, piezas y accesorios</t>
  </si>
  <si>
    <t>Adquirir herramientas, accesorios y elementos de seguridad para el correcto funcionamiento de las instalaciones del Instituto Pedagógico Nacional</t>
  </si>
  <si>
    <t>FUN-176</t>
  </si>
  <si>
    <t>27111800;27112800;27111700;21111701;60104707;41111621;40182700</t>
  </si>
  <si>
    <t>27112800;23271700</t>
  </si>
  <si>
    <t>Máquinas herramientas y sus partes, piezas y accesorios</t>
  </si>
  <si>
    <t>27141001;27112200;</t>
  </si>
  <si>
    <t>Adquirir los elementos de protección personal de tipo confección de prendas de seguridad y protección  para los funcionarios de la Universidad Pedagógica Nacional, en cumplimiento a la política de seguridad y salud en el trabajo de la UPN y la normatividad nacional vigente en Seguridad y Salud en el Trabajo Decreto 1072 de 2015.</t>
  </si>
  <si>
    <t>FUN-177</t>
  </si>
  <si>
    <t>Adquirir elementos de señalización, seguridad industrial y botiquines de primeros auxilios para las instalaciones de la Universidad Pedagogica Nacional</t>
  </si>
  <si>
    <t>FUN-178</t>
  </si>
  <si>
    <t>55121700; 46191600;42171600; 56121200; 422417; 421716; 423115;511000</t>
  </si>
  <si>
    <t>Prestar los servicios para proporcionar información y herramientas prácticas para mejorar su empleabilidad a los participantes de la Feria Laboral de la Universidad Pedagógica Nacional en el campo de la educación, en el marco del evento cultural Encuentro General de Egresados UPN.</t>
  </si>
  <si>
    <t>FUN-179</t>
  </si>
  <si>
    <t>Amparar la adición y prorroga a la Orden de Servicio No. 062/2023 cuyo objeto es: Prestar el servicio de internet fibra óptica, para las instalaciones de San José de Villeta de la Universidad Pedagógica Nacional. </t>
  </si>
  <si>
    <t>FUN-180</t>
  </si>
  <si>
    <t>Amparar la adición y prorroga a la Orden de Servicio No. 062/2023 cuyo objeto es: Prestar el servicio de internet fibra óptica, para las instalaciones de San José de Vil leta de la Universidad Pedagógica Nacional. </t>
  </si>
  <si>
    <t>Adicionar el contrato de prestación de servicios No. 745 de 2023, cuyo objeto es "Prestar los servicios de operación para la facturación electrónica de venta de la Universidad Pedagógica Nacional. " </t>
  </si>
  <si>
    <t>FUN-181</t>
  </si>
  <si>
    <t>Amparar el pago  del desarrollo de las actividades de sensibilización dirigidas a la Comunidad Universitaria sobre la importancia de la correcta gestión de residuos y la reducción en la generación de los mismos, con el fin Contribuir al mejoramiento del Sistema de Gestión Ambiental de la UPN.</t>
  </si>
  <si>
    <t>Amparar el pago de las consultas necesarias ante las entidades distritales de la ciudad de Bogotá, para obtener información sobre la licencia de construcción del Instituto Pedagógico Nacional centro de prácticas de la Universidad Pedagógica Nacional</t>
  </si>
  <si>
    <t>Adquirir 6 licencias vitalicias de la aplicación Zebra Designer Pro 3, para diseño e impresión de código de barras</t>
  </si>
  <si>
    <t>FUN-182</t>
  </si>
  <si>
    <t>Suministro de estructuras en cartón corrugado con impresión de textos cortos e imágenes full color, en el marco de la Exposición " Año Pierre Parlebas"</t>
  </si>
  <si>
    <t>FUN-183</t>
  </si>
  <si>
    <t>14122107; 14121500;60121148;60121700</t>
  </si>
  <si>
    <t>"Realizar el avalúo comercial de un inmueble objeto de estudio por parte de la Universidad Pedagógica Nacional para determinar su adquisición"</t>
  </si>
  <si>
    <t>FUN-184</t>
  </si>
  <si>
    <t>Amparar los gastos bancarios vigencia 2024 de las operaciones que debe realizar la Universidad Pedagógica Nacional y que cobran las entidades bancarias que no se contemplan en la reciprocidad.</t>
  </si>
  <si>
    <t>Amparar el pago del seguimiento y compensación de los conceptos técnicos silviculturales SSFFS14214, 10662, 00360 emitidos por la SDA</t>
  </si>
  <si>
    <t>Adquirir herramientas y equipo para las actividades de mantenimiento en las instalaciones de la UPN</t>
  </si>
  <si>
    <t>FUN-185</t>
  </si>
  <si>
    <t>27112700; 27112000; 27111700;30191500;23101500; 27131500; 22101900</t>
  </si>
  <si>
    <t>2.1.2.01.01.003.02.01</t>
  </si>
  <si>
    <t>Maquinaria agropecuaria o silvícola y sus partes y piezas</t>
  </si>
  <si>
    <t>Máquinas herramientas y sus partes, 
piezas y accesorios</t>
  </si>
  <si>
    <t>2.1.2.01.01.003.02.04</t>
  </si>
  <si>
    <t>Maquinaria para la minería, la explotación de canteras y la construcción y sus partes y piezas</t>
  </si>
  <si>
    <t>Suministrar mesas plegables para los diferentes eventos en instalaciones de la Universidad Pedagógica Naciona</t>
  </si>
  <si>
    <t>FUN-186</t>
  </si>
  <si>
    <t>56101500;50101700</t>
  </si>
  <si>
    <t xml:space="preserve">Amparar el pago de las pólizas del convenio 314-2023 suscrito con ATENEA "Programa Jóvenes a la U" </t>
  </si>
  <si>
    <t>Amparar la Inscripción de la participación en Expo Estudiante 2024</t>
  </si>
  <si>
    <t>Adición del Contrato de Prestación de Servicios N° 361 del 2024, cuyo objeto es: 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t>
  </si>
  <si>
    <t>FUN-187</t>
  </si>
  <si>
    <t>Prestar el servicio para ejecutar las podas del ciclo 1 autorizados para la instalación de Nogal en el Concepto Técnico 00081 de 2024 emitido por la SDA</t>
  </si>
  <si>
    <t>FUN-188</t>
  </si>
  <si>
    <t>Prestar los servicios especializados para la prevención del consumo de sustancias psicoactivas licitas e ilícitas en el marco del enfoque de prevención selectiva especifica.</t>
  </si>
  <si>
    <t>FUN-189</t>
  </si>
  <si>
    <t>85121700; 80111600</t>
  </si>
  <si>
    <t>Entregar a título de arrendamiento a la Universidad Pedagógica Nacional para su uso y goce el inmueble ubicado en la CALLE 73 No. 14 - 21/27/29 INTERIORES 1 y 2 con Matriculas Inmobiliarias 50C-525996, 50C-1140505, 50C-1037576.</t>
  </si>
  <si>
    <t>FUN-190</t>
  </si>
  <si>
    <t>Amparar el apoyo económico de dos estudiantes del grado 1001 pertenecientes al proyecto “La paz Joven”, al seminario internacional para educadores sobre pedagogía de la memoria y construcción de convivencia “Trazando puentes entre el pasado y el presente” que se llevará a cabo en Ámsterdam.</t>
  </si>
  <si>
    <t>Amparar el pago del apoyo económico a siete (7) estudiantes del Departamento de Psicopedagogía - Licenciatura en Educación Especial, quienes asistirán a la salida académica y realizarán su práctica pedagógica con los niños y niñas ciegos del programa de habilitación del Centro de Rehabilitación para Adultos Ciegos CRAC entre otras actividades a desarrollar en la ciudad de Barranquilla los días del 23 y 27 de septiembre de 2024.</t>
  </si>
  <si>
    <t xml:space="preserve">Adquirir comedores para la SEI y mesas para la sala infantil de la biblioteca del IPN </t>
  </si>
  <si>
    <t>FUN-191</t>
  </si>
  <si>
    <t xml:space="preserve">Asientos </t>
  </si>
  <si>
    <t>40175300;56121400</t>
  </si>
  <si>
    <t xml:space="preserve">Adquirir Banderas para los eventos del IPN </t>
  </si>
  <si>
    <t>FUN-192</t>
  </si>
  <si>
    <t xml:space="preserve">Mantenimiento piscina de pelotas de SEI </t>
  </si>
  <si>
    <t>FUN-193</t>
  </si>
  <si>
    <t>60141200;60141202</t>
  </si>
  <si>
    <t xml:space="preserve">Mantenimiento instrumentos de viento del IPN </t>
  </si>
  <si>
    <t>FUN-194</t>
  </si>
  <si>
    <t xml:space="preserve">Instrumentos músicales </t>
  </si>
  <si>
    <t>Compra de accesorios para instrumentos de cuerda</t>
  </si>
  <si>
    <t>FUN-195</t>
  </si>
  <si>
    <t>Adquisión de carnés para visitantes y avisos de señalización para el IPN </t>
  </si>
  <si>
    <t>FUN-196</t>
  </si>
  <si>
    <t>14111815;72154028</t>
  </si>
  <si>
    <t xml:space="preserve">Prestar el servicio de elaboración e impresión de carnés para visitantes y avisos de señalización para el IPN. </t>
  </si>
  <si>
    <t xml:space="preserve">Adquisición de material didáctico elementos de juego para los niños de la SEI </t>
  </si>
  <si>
    <t>FUN-197</t>
  </si>
  <si>
    <t xml:space="preserve"> Actualizar el sistema de Recursos Humanos de la Universidad Pedagógica Nacional sistema de nómina Queryx 7 a la última versión HCM en la modalidad on premise.</t>
  </si>
  <si>
    <t>FUN-198</t>
  </si>
  <si>
    <t>81111800;81111812;81112200</t>
  </si>
  <si>
    <t xml:space="preserve"> Prestar el servicio de desarrollo para la actualización e implementación de funcionalidades en el sistema de Recursos Humanos de la UPN.</t>
  </si>
  <si>
    <t>FUN-199</t>
  </si>
  <si>
    <t>Se adiciona para cuadrar presupuesto con goobi</t>
  </si>
  <si>
    <t>otros</t>
  </si>
  <si>
    <t>Amparar el apoyo económico a diez estudiantes del IPN y un maestro en formación de la UPN, que desarrolla prácticas en el IPN, pertineciente al programa en pedagogía de la UPN, para participar en el intercambio de experiencias en las Escuelas Normales  Salvador Varela Resendiz y  Rural General Ramón Matías Santos en Zacatecas México</t>
  </si>
  <si>
    <t>Amparar los aportes a riesgos laborales -ARL del estudiante que realizará la práctica educativa en la Universidad Pedagógica Nacional, en el marco del "CONVENIO DE PRÁCTICA Y PASANTÍA CELEBRADO ENTRE LA UNIVERSIDAD DEL VALLE Y LA UNIVERISDAD PEDAGOGICA NACIONAL".</t>
  </si>
  <si>
    <t>FUN-200</t>
  </si>
  <si>
    <t>Adición al contrato No. 365 del 2024 cuyo objeto es "Realizar el mantenimiento preventivo y correctivo de las calderas del restaurante y la piscina de la Universidad Pedagógica Nacional".</t>
  </si>
  <si>
    <t>FUN-201</t>
  </si>
  <si>
    <t>Suministrar materiales y herramientas  para el Departamento de Tecnologia de la Universidad Pedagógica Nacional.</t>
  </si>
  <si>
    <t>FUN-202</t>
  </si>
  <si>
    <t>Adquirir un congelador para la puesta en marcha de las  salas amigas de la familia lactante del Programa de Salud de la Subdirección de Bienestar Universitario</t>
  </si>
  <si>
    <t>FUN-203</t>
  </si>
  <si>
    <t>Adquirir artículos y elementos deportivos para el programa de Deporte y Recreación, perteneciente a la Subdirección de Bienestar Universitario de la Universidad Pedagógica Nacional, que beneficia a toda la comunidad académica y en particular a los estudiantes de pregrado y posgrado en pro de su permanencia y graduación.</t>
  </si>
  <si>
    <t>FUN-204</t>
  </si>
  <si>
    <t>49161500; 49181500; 49161600;10191700; 49221500: 49201600; 42250000</t>
  </si>
  <si>
    <t>Productos metálicos y paquetes de software</t>
  </si>
  <si>
    <t>Adición al contrato No. 165 de 2024, que tiene por objeto "Prestar el
servicio de transporte de alimentos para los restaurantes y cafeterías de la Universidad Pedagógica Nacional"</t>
  </si>
  <si>
    <t>FUN-205</t>
  </si>
  <si>
    <t>794 5941844</t>
  </si>
  <si>
    <t>Adición al contrato No. 301 de 2024, cuyo objeto es "Realizar el
mantenimiento preventivo y correctivo de los equipos del restaurante"</t>
  </si>
  <si>
    <t>FUN-206</t>
  </si>
  <si>
    <t>Suministrar muros en cartón corrugado con impresión full color, en el marco de la Exposición temporal "Bell Hooks"</t>
  </si>
  <si>
    <t>FUN-207</t>
  </si>
  <si>
    <t>14122107;14121500;60121148;60121700</t>
  </si>
  <si>
    <t xml:space="preserve">Otras máquinas para usos generales y sus partes y piezas </t>
  </si>
  <si>
    <t>Adquirir bebederos de agua para los distintos espacios del Instituto Pedagógico Nacional (IPN), con el propósito de fomentar la hidratación adecuada y el bienestar de estudiantes y personal.</t>
  </si>
  <si>
    <t>FUN-208</t>
  </si>
  <si>
    <t>Aparatos de uso doméstico sus partes y piezas</t>
  </si>
  <si>
    <t>Adquirir equipos, máquinas y elementos para el Instituto Pedagógico Nacional (IPN), con el fin de mejorar los recursos disponibles para la enseñanza y promover un aprendizaje más efectivo y significativo.</t>
  </si>
  <si>
    <t>FUN-209</t>
  </si>
  <si>
    <t>60121301; 45101506</t>
  </si>
  <si>
    <t>2.1.2.01.01.003.02.06</t>
  </si>
  <si>
    <t>Maquinaria para la fabricación de textiles, prendas de vestir y artículos de cuero, y sus partes y piezas.</t>
  </si>
  <si>
    <t>Adquirir equipos y elementos para los talleres de la Sección de Aprendizajes Inclusivos y Ocupacionales, para  promover un entorno inclusivo que favorezca el desarrollo integral de la comunidad del Instituto Pedagógico Nacional (IPN)</t>
  </si>
  <si>
    <t>FUN-210</t>
  </si>
  <si>
    <t>Adquirir tableros acrílicos para ser instalados en el Instituto Pedagógico Nacional (IPN), y así mejorar el ambiente de enseñanza y facilitar la interacción en las actividades académicas.</t>
  </si>
  <si>
    <t>FUN-211</t>
  </si>
  <si>
    <t>Adquirir material didáctico para las diversas áreas del Instituto Pedagógico Nacional (IPN), con el propósito de contribuir al bienestar académico y formativo de los estudiantes, facilitando su aprendizaje y desarrollo integral.</t>
  </si>
  <si>
    <t>FUN-212</t>
  </si>
  <si>
    <t>60104100;42301500;60121600;60101700;60141101</t>
  </si>
  <si>
    <t>Instrumentos Musicales</t>
  </si>
  <si>
    <t>Adquirir materiales y suministros necesarios para el desarrollo de la actividades  de la Facultad de Bellas Artes de la Universidad Pedagógica Nacional.</t>
  </si>
  <si>
    <t>FUN-213</t>
  </si>
  <si>
    <t>Minerales; Electricidad, Gas Y Agua</t>
  </si>
  <si>
    <t>Artículos De Deporte</t>
  </si>
  <si>
    <t>Adicionar el contrato No. 309 del 2024 con objeto "Suministrar papel higiénico para las diferentes instalaciones de la Universidad Pedagógica Nacional".</t>
  </si>
  <si>
    <t>FUN-214</t>
  </si>
  <si>
    <t>Adicionar el Contrato de Prestación de Servicios No 004 de 2023, cuyo objeto es "Contratar el servicio de aseo y cafetería para la Universidad Pedagógica Nacional"</t>
  </si>
  <si>
    <t>FUN-215</t>
  </si>
  <si>
    <t>Amparar en el marco de la Normatividad el pago los aportes a riesgos laborales -ARL de los Contratistas con actividad clasificada en el riesgo nivel IV o V.</t>
  </si>
  <si>
    <t>Adquirir discos duros para la creación de espacios virtuales en servidores de Oracle.</t>
  </si>
  <si>
    <t>FUN-216</t>
  </si>
  <si>
    <t>Adición al contrato No. 276 del 2024 cuyo objeto es "Prestar el servicio de transporte terrestre para las salidas académicas y administrativas de la Universidad Pedagógica Nacional"</t>
  </si>
  <si>
    <t>FUN-217</t>
  </si>
  <si>
    <t>2.3.8.01.14</t>
  </si>
  <si>
    <t>2.1.1.02.03.105</t>
  </si>
  <si>
    <t>Se adiciona para cuadrar el presupuesto de goobi</t>
  </si>
  <si>
    <t>20.04</t>
  </si>
  <si>
    <t>21.10.02</t>
  </si>
  <si>
    <t xml:space="preserve">se adiciona para cuadrar presupuesto
</t>
  </si>
  <si>
    <t>FUN-218</t>
  </si>
  <si>
    <t>Prestar el servicio de ejecución del ciclo 1 del Plan de podas y las talas autorizadas en las instalaciones del Instituto Pedagógico Nacional mediante los conceptos técnicos SSFFS09065 y SSFFS-08581</t>
  </si>
  <si>
    <t>FUN-219</t>
  </si>
  <si>
    <t>YANETH ROMERO COCA
Vicerrectora Administrativa y Financiera</t>
  </si>
  <si>
    <t>30131500;30131600;30131700;30102400;30103600;31201600; 11111600; 11111700; 11111800; 11101500;40171500;40171600;40171700;40171800;40171900;40173000;40174000;40175000</t>
  </si>
  <si>
    <t>ok</t>
  </si>
  <si>
    <t>no</t>
  </si>
  <si>
    <t>Se debe modificar con lo programado en el PAA</t>
  </si>
  <si>
    <t>Se realiza linea por rubro</t>
  </si>
  <si>
    <t>Se debe dejar el valor es un saldo de la apropiación inicial, 
de acuerdo a las modificaciones que se han realizado para las adicones del contrato.</t>
  </si>
  <si>
    <t>Existe CDP, de no realizarce se libera Realizar el mantenimiento preventivo y correctivo de los aires acondicionados de las diferentes instalaciones de la Universidad Pedagógica Nacional.</t>
  </si>
  <si>
    <t>2.1.3.03.03.01</t>
  </si>
  <si>
    <t xml:space="preserve">2.1.1.01.03.093 </t>
  </si>
  <si>
    <t xml:space="preserve"> 2.1.1.01.03.104</t>
  </si>
  <si>
    <t xml:space="preserve">2.1.3.07.02.094 </t>
  </si>
  <si>
    <t xml:space="preserve">2.1.3.07.02.097 </t>
  </si>
  <si>
    <t xml:space="preserve">2.1.3.07.02.098 </t>
  </si>
  <si>
    <t xml:space="preserve">2.1.8.05.02 </t>
  </si>
  <si>
    <t>Se deben dejar los 55 ya que es lo programado en el PAA</t>
  </si>
  <si>
    <t xml:space="preserve">2.1.2.02.01.000 </t>
  </si>
  <si>
    <t>Se crea fila por recurso</t>
  </si>
  <si>
    <t xml:space="preserve">2.1.2.01.01.003.01.06 </t>
  </si>
  <si>
    <t>ipn</t>
  </si>
  <si>
    <t>Se debe dejar es el saldo del fun 
se crean filas por rubro</t>
  </si>
  <si>
    <t xml:space="preserve"> 2.1.2.02.01.003</t>
  </si>
  <si>
    <t xml:space="preserve">2.1.2.02.02.007 </t>
  </si>
  <si>
    <t>Se debe dejar la aproppiación existe en el  PAA caja menor</t>
  </si>
  <si>
    <t xml:space="preserve">2.1.2.02.02.005 </t>
  </si>
  <si>
    <t xml:space="preserve">2.1.8.01.14 </t>
  </si>
  <si>
    <t>2.1.201.01.003.02.07</t>
  </si>
  <si>
    <t xml:space="preserve">2.1.2.02.02.008 </t>
  </si>
  <si>
    <t>ok, se crea fila por rubro</t>
  </si>
  <si>
    <t xml:space="preserve">2.1.2.02.02.006 </t>
  </si>
  <si>
    <t xml:space="preserve">2.1.2.02.01.003 </t>
  </si>
  <si>
    <t xml:space="preserve">2.1.2.01.01.003.01.02 </t>
  </si>
  <si>
    <t xml:space="preserve">2.1.2.01.01.003.03.02 </t>
  </si>
  <si>
    <t>2.1.2.0.01.003.06.03</t>
  </si>
  <si>
    <t>2.1.2.0.01.003.06.02</t>
  </si>
  <si>
    <t> 2.1.2.02.02.008</t>
  </si>
  <si>
    <t>2.1.2.01.01.003.01.006</t>
  </si>
  <si>
    <t xml:space="preserve">2.1.2.01.01.003.02.06 </t>
  </si>
  <si>
    <t>Eliminar es de supernumerarios</t>
  </si>
  <si>
    <t>Eliminar ya existe valor 719 milones</t>
  </si>
  <si>
    <t>arriendos</t>
  </si>
  <si>
    <t>no se identifica</t>
  </si>
  <si>
    <t>otros - Gravamen a los movimientos financieros</t>
  </si>
  <si>
    <t>verificar 1324 auxiliar</t>
  </si>
  <si>
    <t>Eliminar ya se unifico  en caja menor</t>
  </si>
  <si>
    <t>Código</t>
  </si>
  <si>
    <t>Carlos</t>
  </si>
  <si>
    <t>Claudia</t>
  </si>
  <si>
    <t>No se identifica</t>
  </si>
  <si>
    <t>lo programodo  1320 auxilair y lo caja menro que son 7 millones que esta en el auxilir 1331 Recurso 20.01</t>
  </si>
  <si>
    <t>Se eliminar por el recurso es de VGU</t>
  </si>
  <si>
    <t>Se corrige el valor por mal digitación</t>
  </si>
  <si>
    <t>No esta creado en el PAA, no se identifica a que corresponde,
 los fun creados estan acorde en lo programdo en centro de lenguas</t>
  </si>
  <si>
    <t>Se deja el valor de la apropiación en el fun</t>
  </si>
  <si>
    <t>0k</t>
  </si>
  <si>
    <t>Se unifica  el código  2.1.2.02.02.008 fun-121</t>
  </si>
  <si>
    <t>Se crea linea para el recurso</t>
  </si>
  <si>
    <t>egresados</t>
  </si>
  <si>
    <t>se crea line por el recurso</t>
  </si>
  <si>
    <t>Se crea linea por recurso</t>
  </si>
  <si>
    <t>el valor que esta en el aplciativo es 
1196234 recurso 21.10.02 se debe dejar</t>
  </si>
  <si>
    <t xml:space="preserve"> la refrigeración de los servidores ubicados en el Data</t>
  </si>
  <si>
    <t>avance</t>
  </si>
  <si>
    <t>Se elimina --- esta en el objeto  ----Amparar el pago de la membresía del año 2024 
de la Facultad de Bellas Artes en la Asociación Colombiana de Programas y Facultades de Artes ACOFARTES.</t>
  </si>
  <si>
    <t>otros gasos directos</t>
  </si>
  <si>
    <t>FUN-220</t>
  </si>
  <si>
    <t>Prestar el servicio de mantenimiento para los instrumentos de viento de la Facultad de Bellas Artes</t>
  </si>
  <si>
    <t>FUN-221</t>
  </si>
  <si>
    <t>Versión No. 39</t>
  </si>
  <si>
    <t>FUN-222</t>
  </si>
  <si>
    <t>Amparar el apoyo económico a los estudiantes integrantes de la orquesta y grupo de Jazz del IPN que participarán en el intercambio pedagógico, cultural y musical que se llevará a cabo en Guadalajara Buga los días 05 al 09 de agosto, en el marco de la celebración de los 281 años de vida institucional del Colegio Académico de Buga</t>
  </si>
  <si>
    <t>Amparar el apoyo económico a estudiantes del equipo de voleibol del IPN que participará en el torneo internacional municipio Alcarrizos República Dominicana</t>
  </si>
  <si>
    <t>Amparar el pago del apoyo económico a los estudiantes de la Universidad Pedagógica Nacional que participarán en el Encuentro Internacional de Investigación en Educación Matemática.</t>
  </si>
  <si>
    <t>Amparar el pago del apoyo económico para los estudiantes que van a participar en nombre de la Universidad Pedagógica Nacional en los Juegos Nacionales de ASCUN Eje Cafetero 2024.</t>
  </si>
  <si>
    <t>Amparar el apoyo económico de gastos de viaje: transporte  para cada uno de los estudiantes que participaran en la Cuarta Brigada Internacional Juvenil por la Paz de Colombia, que se desarrollará en el departamento de Cauca, región del Cañón del Micay, entre los días 25 al 29 de abril de 2024.</t>
  </si>
  <si>
    <t>Amparar el pago del apoyo económico para los estudiantes de la Universidad Pedagógica Nacional que participarán en el evento “COP16 de Biodiversidad - 2024".</t>
  </si>
  <si>
    <t>De acuerdo con lo programdo en el paa se crearn filas con los objetos requeridos por gastos directos</t>
  </si>
  <si>
    <t>Se crean las lineas de acuerdo a lo solciitado por gasto directo</t>
  </si>
  <si>
    <t>Se crean las lineas de acuerdo a lo solciitado 
por gasto directo</t>
  </si>
  <si>
    <t xml:space="preserve">no se identifica - el unico avacne que esta con este código es Amparar la compra de un aire acondicionado y sus accesorios para la refrigeración de los servidores 
ubicados en el Datacenter de la Universidad Pedagógica Nacional, para mantener los niveles adecuados de refrigeración de los equipos por valor en el paa de  2,500,000 y cdp 1985900 </t>
  </si>
  <si>
    <t>No se identifica -el unico avance que esta por este codigo es con el objeto Amparar los gastos en el desarrollo de la reunión con la secretaría de Educación del Magdalena y la Universidad Pedagógica Nacional. Por valor de 300,0000.</t>
  </si>
  <si>
    <t>Se crearon linaes por cada concepto</t>
  </si>
  <si>
    <t>Se verifica, por modificación q no se realizo, se deben incorporar los recursos al fun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</si>
</sst>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7" formatCode="&quot;$&quot;\ #,##0.00;\-&quot;$&quot;\ #,##0.00"/>
    <numFmt numFmtId="44" formatCode="_-&quot;$&quot;\ * #,##0.00_-;\-&quot;$&quot;\ * #,##0.00_-;_-&quot;$&quot;\ * &quot;-&quot;??_-;_-@_-"/>
    <numFmt numFmtId="43" formatCode="_-* #,##0.00_-;\-* #,##0.00_-;_-* &quot;-&quot;??_-;_-@_-"/>
    <numFmt numFmtId="164" formatCode="&quot;$&quot;\ #,##0;[Red]&quot;$&quot;\ #,##0"/>
    <numFmt numFmtId="165" formatCode="&quot;$&quot;\ #,##0"/>
    <numFmt numFmtId="166" formatCode="_-* #,##0_-;\-* #,##0_-;_-* &quot;-&quot;??_-;_-@_-"/>
    <numFmt numFmtId="167" formatCode="&quot;$&quot;\ #,##0.00;[Red]&quot;$&quot;\ #,##0.00"/>
  </numFmts>
  <fonts count="33" x14ac:knownFonts="1">
    <font>
      <sz val="11"/>
      <color theme="1"/>
      <name val="Calibri"/>
      <family val="2"/>
      <scheme val="minor"/>
    </font>
    <font>
      <sz val="11"/>
      <color theme="1"/>
      <name val="Calibri"/>
      <family val="2"/>
      <scheme val="minor"/>
    </font>
    <font>
      <sz val="12"/>
      <color theme="0"/>
      <name val="Arial"/>
      <family val="2"/>
    </font>
    <font>
      <sz val="12"/>
      <name val="Arial"/>
      <family val="2"/>
    </font>
    <font>
      <sz val="12"/>
      <color theme="1"/>
      <name val="Arial"/>
      <family val="2"/>
    </font>
    <font>
      <b/>
      <sz val="12"/>
      <color theme="0"/>
      <name val="Arial"/>
      <family val="2"/>
    </font>
    <font>
      <b/>
      <sz val="10"/>
      <color theme="1"/>
      <name val="Verdana"/>
      <family val="2"/>
    </font>
    <font>
      <sz val="12"/>
      <color theme="1"/>
      <name val="Calibri"/>
      <family val="2"/>
      <scheme val="minor"/>
    </font>
    <font>
      <b/>
      <sz val="12"/>
      <name val="Arial"/>
      <family val="2"/>
    </font>
    <font>
      <sz val="10"/>
      <color theme="1"/>
      <name val="Verdana"/>
      <family val="2"/>
    </font>
    <font>
      <u/>
      <sz val="11"/>
      <color theme="10"/>
      <name val="Calibri"/>
      <family val="2"/>
      <scheme val="minor"/>
    </font>
    <font>
      <u/>
      <sz val="12"/>
      <color theme="10"/>
      <name val="Arial"/>
      <family val="2"/>
    </font>
    <font>
      <sz val="12"/>
      <color rgb="FF000000"/>
      <name val="Calibri"/>
      <family val="2"/>
      <scheme val="minor"/>
    </font>
    <font>
      <sz val="12"/>
      <color rgb="FF333333"/>
      <name val="Arial"/>
      <family val="2"/>
    </font>
    <font>
      <b/>
      <sz val="9"/>
      <color indexed="81"/>
      <name val="Tahoma"/>
      <family val="2"/>
    </font>
    <font>
      <sz val="9"/>
      <color indexed="81"/>
      <name val="Tahoma"/>
      <family val="2"/>
    </font>
    <font>
      <sz val="11"/>
      <color theme="0"/>
      <name val="Calibri"/>
      <family val="2"/>
      <scheme val="minor"/>
    </font>
    <font>
      <sz val="14"/>
      <color indexed="81"/>
      <name val="Tahoma"/>
      <family val="2"/>
    </font>
    <font>
      <b/>
      <sz val="14"/>
      <color indexed="81"/>
      <name val="Tahoma"/>
      <family val="2"/>
    </font>
    <font>
      <sz val="8"/>
      <name val="Tahoma"/>
      <family val="2"/>
    </font>
    <font>
      <sz val="8"/>
      <color theme="1"/>
      <name val="Calibri"/>
      <family val="2"/>
      <scheme val="minor"/>
    </font>
    <font>
      <sz val="8"/>
      <name val="Arial"/>
      <family val="2"/>
    </font>
    <font>
      <b/>
      <sz val="8"/>
      <color theme="0"/>
      <name val="Arial"/>
      <family val="2"/>
    </font>
    <font>
      <b/>
      <sz val="8"/>
      <name val="Arial"/>
      <family val="2"/>
    </font>
    <font>
      <sz val="8"/>
      <color theme="1"/>
      <name val="Arial"/>
      <family val="2"/>
    </font>
    <font>
      <sz val="8"/>
      <color rgb="FFFF0000"/>
      <name val="Arial"/>
      <family val="2"/>
    </font>
    <font>
      <sz val="8"/>
      <color rgb="FFFF0000"/>
      <name val="Calibri"/>
      <family val="2"/>
      <scheme val="minor"/>
    </font>
    <font>
      <sz val="8"/>
      <color theme="0"/>
      <name val="Arial"/>
      <family val="2"/>
    </font>
    <font>
      <sz val="8"/>
      <color theme="0"/>
      <name val="Calibri"/>
      <family val="2"/>
      <scheme val="minor"/>
    </font>
    <font>
      <sz val="10"/>
      <name val="Arial"/>
      <family val="2"/>
    </font>
    <font>
      <sz val="11"/>
      <color indexed="81"/>
      <name val="Tahoma"/>
      <family val="2"/>
    </font>
    <font>
      <sz val="8"/>
      <name val="Calibri"/>
      <family val="2"/>
      <scheme val="minor"/>
    </font>
    <font>
      <sz val="11"/>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DBE5F1"/>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249977111117893"/>
        <bgColor indexed="64"/>
      </patternFill>
    </fill>
    <fill>
      <patternFill patternType="solid">
        <fgColor theme="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249977111117893"/>
        <bgColor indexed="64"/>
      </patternFill>
    </fill>
  </fills>
  <borders count="30">
    <border>
      <left/>
      <right/>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diagonal/>
    </border>
    <border>
      <left style="thin">
        <color auto="1"/>
      </left>
      <right style="thin">
        <color auto="1"/>
      </right>
      <top style="medium">
        <color indexed="64"/>
      </top>
      <bottom style="thin">
        <color auto="1"/>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4" borderId="0" applyNumberFormat="0" applyBorder="0" applyProtection="0">
      <alignment horizontal="center" vertical="center"/>
    </xf>
    <xf numFmtId="0" fontId="7" fillId="0" borderId="0"/>
    <xf numFmtId="44" fontId="1" fillId="0" borderId="0" applyFont="0" applyFill="0" applyBorder="0" applyAlignment="0" applyProtection="0"/>
    <xf numFmtId="49" fontId="9" fillId="0" borderId="0" applyFill="0" applyBorder="0" applyProtection="0">
      <alignment horizontal="left" vertical="center"/>
    </xf>
    <xf numFmtId="0" fontId="10"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9" fillId="0" borderId="0"/>
  </cellStyleXfs>
  <cellXfs count="259">
    <xf numFmtId="0" fontId="0" fillId="0" borderId="0" xfId="0"/>
    <xf numFmtId="0" fontId="2" fillId="2" borderId="0" xfId="0" applyFont="1" applyFill="1" applyAlignment="1">
      <alignment vertical="center" wrapText="1"/>
    </xf>
    <xf numFmtId="0" fontId="3" fillId="2" borderId="1" xfId="0" applyFont="1" applyFill="1" applyBorder="1" applyAlignment="1">
      <alignment wrapText="1"/>
    </xf>
    <xf numFmtId="0" fontId="3" fillId="2" borderId="2" xfId="0" applyFont="1" applyFill="1" applyBorder="1" applyAlignment="1">
      <alignment wrapText="1"/>
    </xf>
    <xf numFmtId="0" fontId="3" fillId="2" borderId="2" xfId="0" applyFont="1" applyFill="1" applyBorder="1" applyAlignment="1">
      <alignment horizont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0" xfId="0" applyFont="1" applyFill="1" applyAlignment="1">
      <alignment wrapText="1"/>
    </xf>
    <xf numFmtId="0" fontId="4" fillId="0" borderId="0" xfId="0" applyFont="1" applyAlignment="1">
      <alignment wrapText="1"/>
    </xf>
    <xf numFmtId="0" fontId="3" fillId="2" borderId="4" xfId="0" applyFont="1" applyFill="1" applyBorder="1" applyAlignment="1">
      <alignment wrapText="1"/>
    </xf>
    <xf numFmtId="0" fontId="3" fillId="2" borderId="0" xfId="0" applyFont="1" applyFill="1" applyAlignment="1">
      <alignment horizont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5" xfId="0" applyFont="1" applyFill="1" applyBorder="1" applyAlignment="1">
      <alignment vertical="center" wrapText="1"/>
    </xf>
    <xf numFmtId="0" fontId="5" fillId="3" borderId="0" xfId="0" applyFont="1" applyFill="1" applyAlignment="1">
      <alignment vertical="center" wrapText="1"/>
    </xf>
    <xf numFmtId="0" fontId="5" fillId="2" borderId="4" xfId="3" applyFont="1" applyFill="1" applyBorder="1" applyAlignment="1" applyProtection="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wrapText="1"/>
    </xf>
    <xf numFmtId="0" fontId="4" fillId="2" borderId="0" xfId="0" applyFont="1" applyFill="1" applyAlignment="1">
      <alignment horizontal="center" wrapText="1"/>
    </xf>
    <xf numFmtId="0" fontId="2" fillId="2" borderId="5" xfId="0" applyFont="1" applyFill="1" applyBorder="1" applyAlignment="1">
      <alignment vertical="center" wrapText="1"/>
    </xf>
    <xf numFmtId="0" fontId="2" fillId="2" borderId="4" xfId="0" applyFont="1" applyFill="1" applyBorder="1" applyAlignment="1">
      <alignment wrapText="1"/>
    </xf>
    <xf numFmtId="0" fontId="2" fillId="2" borderId="0" xfId="0" applyFont="1" applyFill="1" applyAlignment="1">
      <alignment wrapText="1"/>
    </xf>
    <xf numFmtId="0" fontId="5" fillId="5" borderId="0" xfId="0" applyFont="1" applyFill="1" applyAlignment="1">
      <alignment vertical="center" wrapText="1"/>
    </xf>
    <xf numFmtId="0" fontId="5" fillId="5" borderId="5" xfId="0" applyFont="1" applyFill="1" applyBorder="1" applyAlignment="1">
      <alignment vertical="center" wrapText="1"/>
    </xf>
    <xf numFmtId="0" fontId="2" fillId="0" borderId="0" xfId="0" applyFont="1" applyAlignment="1">
      <alignment wrapText="1"/>
    </xf>
    <xf numFmtId="6" fontId="3" fillId="2" borderId="8" xfId="2" applyNumberFormat="1" applyFont="1" applyFill="1" applyBorder="1" applyAlignment="1" applyProtection="1">
      <alignment horizontal="center" vertical="center" wrapText="1"/>
    </xf>
    <xf numFmtId="6" fontId="3" fillId="2" borderId="8"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0" fontId="4" fillId="0" borderId="0" xfId="0" applyFont="1" applyFill="1" applyAlignment="1">
      <alignment wrapText="1"/>
    </xf>
    <xf numFmtId="0" fontId="3" fillId="0" borderId="0" xfId="0" applyFont="1" applyAlignment="1">
      <alignment wrapText="1"/>
    </xf>
    <xf numFmtId="0" fontId="3" fillId="10" borderId="0" xfId="0" applyFont="1" applyFill="1" applyAlignment="1">
      <alignment wrapText="1"/>
    </xf>
    <xf numFmtId="0" fontId="4" fillId="10" borderId="0" xfId="0" applyFont="1" applyFill="1" applyAlignment="1">
      <alignment wrapText="1"/>
    </xf>
    <xf numFmtId="0" fontId="3" fillId="15" borderId="0" xfId="0" applyFont="1" applyFill="1" applyAlignment="1">
      <alignment wrapText="1"/>
    </xf>
    <xf numFmtId="0" fontId="4" fillId="15" borderId="0" xfId="0" applyFont="1" applyFill="1" applyAlignment="1">
      <alignment wrapText="1"/>
    </xf>
    <xf numFmtId="0" fontId="3" fillId="0" borderId="0" xfId="0" applyFont="1" applyAlignment="1">
      <alignment horizontal="center" vertical="center" wrapText="1"/>
    </xf>
    <xf numFmtId="0" fontId="4" fillId="0" borderId="0" xfId="0" applyFont="1" applyAlignment="1">
      <alignment horizontal="center" wrapText="1"/>
    </xf>
    <xf numFmtId="0" fontId="3" fillId="0" borderId="0" xfId="0" applyFont="1" applyAlignment="1">
      <alignment horizontal="center" wrapText="1"/>
    </xf>
    <xf numFmtId="164" fontId="3" fillId="0" borderId="0" xfId="0" applyNumberFormat="1" applyFont="1" applyAlignment="1">
      <alignment wrapText="1"/>
    </xf>
    <xf numFmtId="166" fontId="3" fillId="0" borderId="0" xfId="1" applyNumberFormat="1" applyFont="1" applyAlignment="1">
      <alignment wrapText="1"/>
    </xf>
    <xf numFmtId="167" fontId="3" fillId="0" borderId="0" xfId="0" applyNumberFormat="1" applyFont="1" applyAlignment="1">
      <alignment wrapText="1"/>
    </xf>
    <xf numFmtId="0" fontId="2" fillId="0" borderId="0" xfId="0" applyFont="1" applyFill="1" applyAlignment="1">
      <alignment wrapText="1"/>
    </xf>
    <xf numFmtId="0" fontId="3" fillId="0" borderId="0" xfId="0" applyFont="1" applyFill="1" applyAlignment="1">
      <alignment wrapText="1"/>
    </xf>
    <xf numFmtId="0" fontId="0" fillId="0" borderId="0" xfId="0" applyFill="1"/>
    <xf numFmtId="0" fontId="3" fillId="0" borderId="11" xfId="0" applyFont="1" applyBorder="1" applyAlignment="1">
      <alignment wrapText="1"/>
    </xf>
    <xf numFmtId="164" fontId="0" fillId="0" borderId="0" xfId="0" applyNumberFormat="1"/>
    <xf numFmtId="7" fontId="19" fillId="0" borderId="13" xfId="0" applyNumberFormat="1" applyFont="1" applyFill="1" applyBorder="1" applyAlignment="1" applyProtection="1">
      <alignment horizontal="right" vertical="top" wrapText="1"/>
    </xf>
    <xf numFmtId="0" fontId="16" fillId="15" borderId="0" xfId="0" applyFont="1" applyFill="1"/>
    <xf numFmtId="0" fontId="0" fillId="0" borderId="0" xfId="0" applyAlignment="1">
      <alignment horizontal="center"/>
    </xf>
    <xf numFmtId="0" fontId="20" fillId="0" borderId="0" xfId="0" applyFont="1"/>
    <xf numFmtId="164" fontId="20" fillId="0" borderId="0" xfId="0" applyNumberFormat="1" applyFont="1"/>
    <xf numFmtId="0" fontId="22" fillId="3" borderId="7" xfId="3" applyFont="1" applyFill="1" applyBorder="1" applyAlignment="1" applyProtection="1">
      <alignment horizontal="center" vertical="center" wrapText="1"/>
    </xf>
    <xf numFmtId="0" fontId="23" fillId="6" borderId="7" xfId="3" applyFont="1" applyFill="1" applyBorder="1" applyAlignment="1" applyProtection="1">
      <alignment horizontal="center" vertical="center" wrapText="1"/>
    </xf>
    <xf numFmtId="0" fontId="22" fillId="3" borderId="12" xfId="3" applyFont="1" applyFill="1" applyBorder="1" applyAlignment="1" applyProtection="1">
      <alignment horizontal="center" vertical="center" wrapText="1"/>
    </xf>
    <xf numFmtId="0" fontId="23" fillId="6" borderId="12" xfId="3" applyFont="1" applyFill="1" applyBorder="1" applyAlignment="1" applyProtection="1">
      <alignment horizontal="center" vertical="center" wrapText="1"/>
    </xf>
    <xf numFmtId="0" fontId="24" fillId="9" borderId="8" xfId="0" applyFont="1" applyFill="1" applyBorder="1" applyAlignment="1">
      <alignment horizontal="center" vertical="center" wrapText="1"/>
    </xf>
    <xf numFmtId="164" fontId="21" fillId="9" borderId="6" xfId="2" applyNumberFormat="1" applyFont="1" applyFill="1" applyBorder="1" applyAlignment="1" applyProtection="1">
      <alignment vertical="center" wrapText="1"/>
    </xf>
    <xf numFmtId="0" fontId="21" fillId="11" borderId="6" xfId="5" applyNumberFormat="1" applyFont="1" applyFill="1" applyBorder="1" applyAlignment="1" applyProtection="1">
      <alignment horizontal="center" vertical="center" wrapText="1"/>
    </xf>
    <xf numFmtId="0" fontId="24" fillId="9" borderId="6" xfId="0" applyFont="1" applyFill="1" applyBorder="1" applyAlignment="1">
      <alignment horizontal="center" vertical="center" wrapText="1"/>
    </xf>
    <xf numFmtId="164" fontId="21" fillId="10" borderId="6" xfId="2" applyNumberFormat="1" applyFont="1" applyFill="1" applyBorder="1" applyAlignment="1" applyProtection="1">
      <alignment vertical="center" wrapText="1"/>
    </xf>
    <xf numFmtId="0" fontId="21" fillId="10" borderId="6" xfId="5" applyNumberFormat="1" applyFont="1" applyFill="1" applyBorder="1" applyAlignment="1" applyProtection="1">
      <alignment horizontal="center" vertical="center" wrapText="1"/>
    </xf>
    <xf numFmtId="0" fontId="24" fillId="2" borderId="8" xfId="0" applyFont="1" applyFill="1" applyBorder="1" applyAlignment="1">
      <alignment horizontal="center" vertical="center" wrapText="1"/>
    </xf>
    <xf numFmtId="164" fontId="21" fillId="2" borderId="6" xfId="2" applyNumberFormat="1" applyFont="1" applyFill="1" applyBorder="1" applyAlignment="1" applyProtection="1">
      <alignment vertical="center" wrapText="1"/>
    </xf>
    <xf numFmtId="0" fontId="24" fillId="2" borderId="6" xfId="0" applyFont="1" applyFill="1" applyBorder="1" applyAlignment="1">
      <alignment horizontal="center" vertical="center" wrapText="1"/>
    </xf>
    <xf numFmtId="0" fontId="20" fillId="0" borderId="0" xfId="0" applyFont="1" applyAlignment="1">
      <alignment horizontal="center" wrapText="1"/>
    </xf>
    <xf numFmtId="0" fontId="21" fillId="0" borderId="0" xfId="0" applyFont="1" applyAlignment="1">
      <alignment horizontal="center" wrapText="1"/>
    </xf>
    <xf numFmtId="0" fontId="27" fillId="15" borderId="8" xfId="0" applyFont="1" applyFill="1" applyBorder="1" applyAlignment="1">
      <alignment horizontal="center" vertical="center" wrapText="1"/>
    </xf>
    <xf numFmtId="164" fontId="27" fillId="15" borderId="6" xfId="2" applyNumberFormat="1" applyFont="1" applyFill="1" applyBorder="1" applyAlignment="1" applyProtection="1">
      <alignment vertical="center" wrapText="1"/>
    </xf>
    <xf numFmtId="0" fontId="27" fillId="15" borderId="6" xfId="5" applyNumberFormat="1" applyFont="1" applyFill="1" applyBorder="1" applyAlignment="1" applyProtection="1">
      <alignment horizontal="center" vertical="center" wrapText="1"/>
    </xf>
    <xf numFmtId="0" fontId="27" fillId="15" borderId="6" xfId="0" applyFont="1" applyFill="1" applyBorder="1" applyAlignment="1">
      <alignment horizontal="center" vertical="center" wrapText="1"/>
    </xf>
    <xf numFmtId="0" fontId="28" fillId="15" borderId="0" xfId="0" applyFont="1" applyFill="1"/>
    <xf numFmtId="0" fontId="20" fillId="0" borderId="0" xfId="0" applyFont="1" applyAlignment="1">
      <alignment horizontal="center"/>
    </xf>
    <xf numFmtId="0" fontId="21" fillId="0" borderId="0" xfId="0" applyFont="1" applyAlignment="1">
      <alignment wrapText="1"/>
    </xf>
    <xf numFmtId="0" fontId="20" fillId="16" borderId="0" xfId="0" applyFont="1" applyFill="1"/>
    <xf numFmtId="0" fontId="24" fillId="16" borderId="8" xfId="0" applyFont="1" applyFill="1" applyBorder="1" applyAlignment="1">
      <alignment horizontal="center" vertical="center" wrapText="1"/>
    </xf>
    <xf numFmtId="164" fontId="21" fillId="16" borderId="6" xfId="2" applyNumberFormat="1" applyFont="1" applyFill="1" applyBorder="1" applyAlignment="1" applyProtection="1">
      <alignment vertical="center" wrapText="1"/>
    </xf>
    <xf numFmtId="0" fontId="21" fillId="16" borderId="6" xfId="5" applyNumberFormat="1" applyFont="1" applyFill="1" applyBorder="1" applyAlignment="1" applyProtection="1">
      <alignment horizontal="center" vertical="center" wrapText="1"/>
    </xf>
    <xf numFmtId="0" fontId="24" fillId="16" borderId="6" xfId="0" applyFont="1" applyFill="1" applyBorder="1" applyAlignment="1">
      <alignment horizontal="center" vertical="center" wrapText="1"/>
    </xf>
    <xf numFmtId="164" fontId="20" fillId="16" borderId="0" xfId="0" applyNumberFormat="1" applyFont="1" applyFill="1"/>
    <xf numFmtId="0" fontId="0" fillId="16" borderId="0" xfId="0" applyFill="1"/>
    <xf numFmtId="0" fontId="20" fillId="16" borderId="0" xfId="0" applyFont="1" applyFill="1" applyAlignment="1">
      <alignment horizontal="center" vertical="center"/>
    </xf>
    <xf numFmtId="164" fontId="20" fillId="16" borderId="0" xfId="0" applyNumberFormat="1" applyFont="1" applyFill="1" applyAlignment="1">
      <alignment vertical="center"/>
    </xf>
    <xf numFmtId="164" fontId="28" fillId="15" borderId="0" xfId="0" applyNumberFormat="1" applyFont="1" applyFill="1"/>
    <xf numFmtId="0" fontId="20" fillId="16" borderId="0" xfId="0" applyFont="1" applyFill="1" applyAlignment="1">
      <alignment horizontal="center"/>
    </xf>
    <xf numFmtId="0" fontId="24" fillId="16" borderId="8" xfId="0" applyFont="1" applyFill="1" applyBorder="1" applyAlignment="1">
      <alignment vertical="center" wrapText="1"/>
    </xf>
    <xf numFmtId="0" fontId="21" fillId="16" borderId="6" xfId="5" applyNumberFormat="1" applyFont="1" applyFill="1" applyBorder="1" applyAlignment="1" applyProtection="1">
      <alignment vertical="center" wrapText="1"/>
    </xf>
    <xf numFmtId="0" fontId="20" fillId="16" borderId="0" xfId="0" applyFont="1" applyFill="1" applyAlignment="1">
      <alignment vertical="center"/>
    </xf>
    <xf numFmtId="0" fontId="0" fillId="16" borderId="0" xfId="0" applyFill="1" applyAlignment="1">
      <alignment vertical="center"/>
    </xf>
    <xf numFmtId="0" fontId="20" fillId="16" borderId="6" xfId="0" applyFont="1" applyFill="1" applyBorder="1" applyAlignment="1">
      <alignment horizontal="center"/>
    </xf>
    <xf numFmtId="0" fontId="21" fillId="17" borderId="6" xfId="5" applyNumberFormat="1" applyFont="1" applyFill="1" applyBorder="1" applyAlignment="1" applyProtection="1">
      <alignment horizontal="center" vertical="center" wrapText="1"/>
    </xf>
    <xf numFmtId="0" fontId="20" fillId="16" borderId="0" xfId="0" applyFont="1" applyFill="1" applyAlignment="1">
      <alignment horizontal="center" wrapText="1"/>
    </xf>
    <xf numFmtId="164" fontId="20" fillId="16" borderId="0" xfId="0" applyNumberFormat="1" applyFont="1" applyFill="1" applyAlignment="1">
      <alignment horizontal="center" vertical="center"/>
    </xf>
    <xf numFmtId="0" fontId="21" fillId="16" borderId="0" xfId="0" applyFont="1" applyFill="1" applyAlignment="1">
      <alignment wrapText="1"/>
    </xf>
    <xf numFmtId="0" fontId="21" fillId="16" borderId="0" xfId="0" applyFont="1" applyFill="1" applyAlignment="1">
      <alignment horizontal="center" wrapText="1"/>
    </xf>
    <xf numFmtId="0" fontId="25" fillId="18" borderId="8" xfId="0" applyFont="1" applyFill="1" applyBorder="1" applyAlignment="1">
      <alignment horizontal="center" vertical="center" wrapText="1"/>
    </xf>
    <xf numFmtId="164" fontId="25" fillId="18" borderId="6" xfId="2" applyNumberFormat="1" applyFont="1" applyFill="1" applyBorder="1" applyAlignment="1" applyProtection="1">
      <alignment vertical="center" wrapText="1"/>
    </xf>
    <xf numFmtId="0" fontId="25" fillId="18" borderId="6" xfId="5" applyNumberFormat="1" applyFont="1" applyFill="1" applyBorder="1" applyAlignment="1" applyProtection="1">
      <alignment horizontal="center" vertical="center" wrapText="1"/>
    </xf>
    <xf numFmtId="0" fontId="24" fillId="18" borderId="6" xfId="0" applyFont="1" applyFill="1" applyBorder="1" applyAlignment="1">
      <alignment horizontal="center" vertical="center" wrapText="1"/>
    </xf>
    <xf numFmtId="0" fontId="21" fillId="18" borderId="0" xfId="0" applyFont="1" applyFill="1" applyAlignment="1">
      <alignment horizontal="center" wrapText="1"/>
    </xf>
    <xf numFmtId="0" fontId="20" fillId="18" borderId="0" xfId="0" applyFont="1" applyFill="1"/>
    <xf numFmtId="164" fontId="20" fillId="18" borderId="0" xfId="0" applyNumberFormat="1" applyFont="1" applyFill="1"/>
    <xf numFmtId="0" fontId="4" fillId="18" borderId="8" xfId="0" applyFont="1" applyFill="1" applyBorder="1" applyAlignment="1">
      <alignment horizontal="center" vertical="center" wrapText="1"/>
    </xf>
    <xf numFmtId="0" fontId="0" fillId="18" borderId="0" xfId="0" applyFill="1"/>
    <xf numFmtId="0" fontId="2" fillId="18" borderId="0" xfId="0" applyFont="1" applyFill="1" applyAlignment="1">
      <alignment vertical="center" wrapText="1"/>
    </xf>
    <xf numFmtId="0" fontId="4" fillId="18" borderId="0" xfId="0" applyFont="1" applyFill="1" applyAlignment="1">
      <alignment wrapText="1"/>
    </xf>
    <xf numFmtId="0" fontId="25" fillId="16" borderId="6" xfId="0" applyFont="1" applyFill="1" applyBorder="1" applyAlignment="1">
      <alignment horizontal="center" vertical="center" wrapText="1"/>
    </xf>
    <xf numFmtId="7" fontId="19" fillId="16" borderId="13" xfId="0" applyNumberFormat="1" applyFont="1" applyFill="1" applyBorder="1" applyAlignment="1" applyProtection="1">
      <alignment horizontal="right" vertical="top" wrapText="1"/>
    </xf>
    <xf numFmtId="0" fontId="25" fillId="16" borderId="6" xfId="5" applyNumberFormat="1" applyFont="1" applyFill="1" applyBorder="1" applyAlignment="1" applyProtection="1">
      <alignment horizontal="center" vertical="center" wrapText="1"/>
    </xf>
    <xf numFmtId="164" fontId="25" fillId="16" borderId="6" xfId="2" applyNumberFormat="1" applyFont="1" applyFill="1" applyBorder="1" applyAlignment="1" applyProtection="1">
      <alignment vertical="center" wrapText="1"/>
    </xf>
    <xf numFmtId="0" fontId="26" fillId="16" borderId="0" xfId="0" applyFont="1" applyFill="1"/>
    <xf numFmtId="164" fontId="26" fillId="16" borderId="0" xfId="0" applyNumberFormat="1" applyFont="1" applyFill="1"/>
    <xf numFmtId="0" fontId="19" fillId="16" borderId="13" xfId="0" applyNumberFormat="1" applyFont="1" applyFill="1" applyBorder="1" applyAlignment="1" applyProtection="1">
      <alignment horizontal="left" vertical="top" wrapText="1"/>
    </xf>
    <xf numFmtId="0" fontId="21" fillId="16" borderId="6" xfId="0" applyFont="1" applyFill="1" applyBorder="1" applyAlignment="1">
      <alignment wrapText="1"/>
    </xf>
    <xf numFmtId="0" fontId="19" fillId="16" borderId="13" xfId="0" applyNumberFormat="1" applyFont="1" applyFill="1" applyBorder="1" applyAlignment="1" applyProtection="1">
      <alignment horizontal="center" vertical="center" wrapText="1"/>
    </xf>
    <xf numFmtId="0" fontId="28" fillId="15" borderId="0" xfId="0" applyFont="1" applyFill="1" applyAlignment="1">
      <alignment horizontal="center"/>
    </xf>
    <xf numFmtId="0" fontId="26" fillId="16" borderId="0" xfId="0" applyFont="1" applyFill="1" applyAlignment="1">
      <alignment horizontal="center" wrapText="1"/>
    </xf>
    <xf numFmtId="0" fontId="26" fillId="16" borderId="0" xfId="0" applyFont="1" applyFill="1" applyAlignment="1">
      <alignment horizontal="center"/>
    </xf>
    <xf numFmtId="0" fontId="20" fillId="18" borderId="0" xfId="0" applyFont="1" applyFill="1" applyAlignment="1">
      <alignment horizontal="center" wrapText="1"/>
    </xf>
    <xf numFmtId="0" fontId="27" fillId="15" borderId="6" xfId="0" applyFont="1" applyFill="1" applyBorder="1" applyAlignment="1">
      <alignment wrapText="1"/>
    </xf>
    <xf numFmtId="0" fontId="20" fillId="19" borderId="0" xfId="0" applyFont="1" applyFill="1" applyAlignment="1">
      <alignment horizontal="center" wrapText="1"/>
    </xf>
    <xf numFmtId="0" fontId="24" fillId="19" borderId="6" xfId="0" applyFont="1" applyFill="1" applyBorder="1" applyAlignment="1">
      <alignment horizontal="center" vertical="center" wrapText="1"/>
    </xf>
    <xf numFmtId="164" fontId="21" fillId="19" borderId="6" xfId="2" applyNumberFormat="1" applyFont="1" applyFill="1" applyBorder="1" applyAlignment="1" applyProtection="1">
      <alignment vertical="center" wrapText="1"/>
    </xf>
    <xf numFmtId="0" fontId="21" fillId="19" borderId="6" xfId="5" applyNumberFormat="1" applyFont="1" applyFill="1" applyBorder="1" applyAlignment="1" applyProtection="1">
      <alignment horizontal="center" vertical="center" wrapText="1"/>
    </xf>
    <xf numFmtId="0" fontId="21" fillId="19" borderId="6" xfId="0" applyFont="1" applyFill="1" applyBorder="1" applyAlignment="1">
      <alignment wrapText="1"/>
    </xf>
    <xf numFmtId="0" fontId="20" fillId="19" borderId="0" xfId="0" applyFont="1" applyFill="1"/>
    <xf numFmtId="164" fontId="20" fillId="19" borderId="0" xfId="0" applyNumberFormat="1" applyFont="1" applyFill="1"/>
    <xf numFmtId="0" fontId="0" fillId="19" borderId="0" xfId="0" applyFill="1"/>
    <xf numFmtId="0" fontId="20" fillId="19" borderId="0" xfId="0" applyFont="1" applyFill="1" applyAlignment="1">
      <alignment horizontal="center"/>
    </xf>
    <xf numFmtId="0" fontId="4" fillId="0" borderId="0" xfId="0" applyFont="1" applyAlignment="1">
      <alignment wrapText="1"/>
    </xf>
    <xf numFmtId="0" fontId="3" fillId="0" borderId="0" xfId="0" applyFont="1" applyAlignment="1">
      <alignment wrapText="1"/>
    </xf>
    <xf numFmtId="0" fontId="4"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5" fillId="3" borderId="17" xfId="3" applyFont="1" applyFill="1" applyBorder="1" applyAlignment="1" applyProtection="1">
      <alignment horizontal="center" vertical="center" wrapText="1"/>
    </xf>
    <xf numFmtId="0" fontId="5" fillId="3" borderId="18" xfId="3" applyFont="1" applyFill="1" applyBorder="1" applyAlignment="1" applyProtection="1">
      <alignment horizontal="center" vertical="center" wrapText="1"/>
    </xf>
    <xf numFmtId="0" fontId="8" fillId="6" borderId="18" xfId="3" applyFont="1" applyFill="1" applyBorder="1" applyAlignment="1" applyProtection="1">
      <alignment horizontal="center" vertical="center" wrapText="1"/>
    </xf>
    <xf numFmtId="1" fontId="8" fillId="6" borderId="18" xfId="3" applyNumberFormat="1" applyFont="1" applyFill="1" applyBorder="1" applyAlignment="1" applyProtection="1">
      <alignment horizontal="center" vertical="center" wrapText="1"/>
    </xf>
    <xf numFmtId="1" fontId="8" fillId="6" borderId="18" xfId="3" applyNumberFormat="1" applyFont="1" applyFill="1" applyBorder="1" applyAlignment="1" applyProtection="1">
      <alignment vertical="center" wrapText="1"/>
    </xf>
    <xf numFmtId="0" fontId="5" fillId="6" borderId="18" xfId="3" applyFont="1" applyFill="1" applyBorder="1" applyAlignment="1" applyProtection="1">
      <alignment horizontal="center" vertical="center" wrapText="1"/>
    </xf>
    <xf numFmtId="0" fontId="2" fillId="6" borderId="18" xfId="3" applyFont="1" applyFill="1" applyBorder="1" applyAlignment="1" applyProtection="1">
      <alignment horizontal="center" vertical="center" wrapText="1"/>
    </xf>
    <xf numFmtId="3" fontId="5" fillId="7" borderId="18" xfId="0" applyNumberFormat="1" applyFont="1" applyFill="1" applyBorder="1" applyAlignment="1">
      <alignment horizontal="center" vertical="center" wrapText="1"/>
    </xf>
    <xf numFmtId="3" fontId="5" fillId="8" borderId="18" xfId="0" applyNumberFormat="1" applyFont="1" applyFill="1" applyBorder="1" applyAlignment="1">
      <alignment horizontal="center" vertical="center" wrapText="1"/>
    </xf>
    <xf numFmtId="3" fontId="5" fillId="8" borderId="19"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3" fillId="9" borderId="16" xfId="2" applyNumberFormat="1" applyFont="1" applyFill="1" applyBorder="1" applyAlignment="1" applyProtection="1">
      <alignment horizontal="center" vertical="center" wrapText="1"/>
    </xf>
    <xf numFmtId="0" fontId="3" fillId="9" borderId="16" xfId="0" applyFont="1" applyFill="1" applyBorder="1" applyAlignment="1">
      <alignment horizontal="center" vertical="center" wrapText="1"/>
    </xf>
    <xf numFmtId="0" fontId="3" fillId="12"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12" borderId="16" xfId="0" applyFont="1" applyFill="1" applyBorder="1" applyAlignment="1" applyProtection="1">
      <alignment horizontal="center" vertical="center" wrapText="1"/>
      <protection locked="0"/>
    </xf>
    <xf numFmtId="49" fontId="3" fillId="12" borderId="16" xfId="6" applyFont="1" applyFill="1" applyBorder="1" applyAlignment="1" applyProtection="1">
      <alignment horizontal="center" vertical="center" wrapText="1"/>
    </xf>
    <xf numFmtId="6" fontId="3" fillId="2" borderId="16" xfId="2" applyNumberFormat="1" applyFont="1" applyFill="1" applyBorder="1" applyAlignment="1" applyProtection="1">
      <alignment horizontal="center" vertical="center" wrapText="1"/>
    </xf>
    <xf numFmtId="6" fontId="3" fillId="2" borderId="16" xfId="0" applyNumberFormat="1" applyFont="1" applyFill="1" applyBorder="1" applyAlignment="1">
      <alignment horizontal="right" vertical="center" wrapText="1"/>
    </xf>
    <xf numFmtId="6" fontId="3" fillId="0" borderId="16" xfId="0" applyNumberFormat="1" applyFont="1" applyBorder="1" applyAlignment="1">
      <alignment horizontal="right" vertical="center" wrapText="1"/>
    </xf>
    <xf numFmtId="0" fontId="4" fillId="12" borderId="16" xfId="0" applyFont="1" applyFill="1" applyBorder="1" applyAlignment="1">
      <alignment horizontal="center" vertical="center" wrapText="1"/>
    </xf>
    <xf numFmtId="165" fontId="3" fillId="0" borderId="16" xfId="0" applyNumberFormat="1" applyFont="1" applyBorder="1" applyAlignment="1">
      <alignment horizontal="center" vertical="center" wrapText="1"/>
    </xf>
    <xf numFmtId="49" fontId="4" fillId="0" borderId="16" xfId="6" applyFont="1" applyBorder="1" applyAlignment="1" applyProtection="1">
      <alignment horizontal="center" vertical="center" wrapText="1"/>
    </xf>
    <xf numFmtId="0" fontId="4" fillId="13"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11" fillId="0" borderId="16" xfId="7" applyFont="1" applyFill="1" applyBorder="1" applyAlignment="1" applyProtection="1">
      <alignment horizontal="center" vertical="center" wrapText="1"/>
    </xf>
    <xf numFmtId="3" fontId="3" fillId="14" borderId="16" xfId="0" applyNumberFormat="1" applyFont="1" applyFill="1" applyBorder="1" applyAlignment="1">
      <alignment horizontal="center" vertical="center" wrapText="1"/>
    </xf>
    <xf numFmtId="0" fontId="3" fillId="9" borderId="16" xfId="0" applyFont="1" applyFill="1" applyBorder="1" applyAlignment="1">
      <alignment vertical="center" wrapText="1"/>
    </xf>
    <xf numFmtId="164" fontId="3" fillId="9" borderId="16" xfId="0" applyNumberFormat="1" applyFont="1" applyFill="1" applyBorder="1" applyAlignment="1">
      <alignment horizontal="center" vertical="center" wrapText="1"/>
    </xf>
    <xf numFmtId="164" fontId="3" fillId="9" borderId="16" xfId="0" applyNumberFormat="1" applyFont="1" applyFill="1" applyBorder="1" applyAlignment="1">
      <alignment vertical="center" wrapText="1"/>
    </xf>
    <xf numFmtId="0" fontId="4" fillId="18" borderId="16" xfId="0" applyFont="1" applyFill="1" applyBorder="1" applyAlignment="1">
      <alignment horizontal="center" vertical="center" wrapText="1"/>
    </xf>
    <xf numFmtId="0" fontId="3" fillId="18" borderId="16" xfId="0" applyFont="1" applyFill="1" applyBorder="1" applyAlignment="1">
      <alignment horizontal="center" vertical="center" wrapText="1"/>
    </xf>
    <xf numFmtId="0" fontId="3" fillId="18" borderId="16" xfId="0" applyFont="1" applyFill="1" applyBorder="1" applyAlignment="1" applyProtection="1">
      <alignment horizontal="center" vertical="center" wrapText="1"/>
      <protection locked="0"/>
    </xf>
    <xf numFmtId="49" fontId="3" fillId="18" borderId="16" xfId="6" applyFont="1" applyFill="1" applyBorder="1" applyAlignment="1" applyProtection="1">
      <alignment horizontal="center" vertical="center" wrapText="1"/>
    </xf>
    <xf numFmtId="6" fontId="3" fillId="18" borderId="16" xfId="2" applyNumberFormat="1" applyFont="1" applyFill="1" applyBorder="1" applyAlignment="1" applyProtection="1">
      <alignment horizontal="center" vertical="center" wrapText="1"/>
    </xf>
    <xf numFmtId="6" fontId="3" fillId="18" borderId="16" xfId="0" applyNumberFormat="1" applyFont="1" applyFill="1" applyBorder="1" applyAlignment="1">
      <alignment horizontal="right" vertical="center" wrapText="1"/>
    </xf>
    <xf numFmtId="165" fontId="3" fillId="18" borderId="16" xfId="0" applyNumberFormat="1" applyFont="1" applyFill="1" applyBorder="1" applyAlignment="1">
      <alignment horizontal="center" vertical="center" wrapText="1"/>
    </xf>
    <xf numFmtId="49" fontId="4" fillId="18" borderId="16" xfId="6" applyFont="1" applyFill="1" applyBorder="1" applyAlignment="1" applyProtection="1">
      <alignment horizontal="center" vertical="center" wrapText="1"/>
    </xf>
    <xf numFmtId="0" fontId="11" fillId="18" borderId="16" xfId="7" applyFont="1" applyFill="1" applyBorder="1" applyAlignment="1" applyProtection="1">
      <alignment horizontal="center" vertical="center" wrapText="1"/>
    </xf>
    <xf numFmtId="3" fontId="3" fillId="18" borderId="16" xfId="0" applyNumberFormat="1" applyFont="1" applyFill="1" applyBorder="1" applyAlignment="1">
      <alignment horizontal="center" vertical="center" wrapText="1"/>
    </xf>
    <xf numFmtId="164" fontId="4" fillId="9" borderId="16" xfId="0" applyNumberFormat="1"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9" borderId="12" xfId="0" applyFont="1" applyFill="1" applyBorder="1" applyAlignment="1">
      <alignment horizontal="center" vertical="center" wrapText="1"/>
    </xf>
    <xf numFmtId="164" fontId="3" fillId="9" borderId="12" xfId="2" applyNumberFormat="1" applyFont="1" applyFill="1" applyBorder="1" applyAlignment="1" applyProtection="1">
      <alignment vertical="center" wrapText="1"/>
    </xf>
    <xf numFmtId="164" fontId="3" fillId="9" borderId="12" xfId="2" applyNumberFormat="1" applyFont="1" applyFill="1" applyBorder="1" applyAlignment="1" applyProtection="1">
      <alignment horizontal="right" vertical="center" wrapText="1"/>
    </xf>
    <xf numFmtId="0" fontId="3" fillId="11" borderId="12" xfId="5" applyNumberFormat="1" applyFont="1" applyFill="1" applyBorder="1" applyAlignment="1" applyProtection="1">
      <alignment horizontal="center" vertical="center" wrapText="1"/>
    </xf>
    <xf numFmtId="0" fontId="3" fillId="9" borderId="12" xfId="2" applyNumberFormat="1" applyFont="1" applyFill="1" applyBorder="1" applyAlignment="1" applyProtection="1">
      <alignment horizontal="center" vertical="center" wrapText="1"/>
    </xf>
    <xf numFmtId="0" fontId="3" fillId="9" borderId="12"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12" borderId="12" xfId="0" applyFont="1" applyFill="1" applyBorder="1" applyAlignment="1" applyProtection="1">
      <alignment horizontal="center" vertical="center" wrapText="1"/>
      <protection locked="0"/>
    </xf>
    <xf numFmtId="49" fontId="3" fillId="12" borderId="12" xfId="6" applyFont="1" applyFill="1" applyBorder="1" applyAlignment="1" applyProtection="1">
      <alignment horizontal="center" vertical="center" wrapText="1"/>
    </xf>
    <xf numFmtId="6" fontId="3" fillId="2" borderId="12" xfId="2" applyNumberFormat="1" applyFont="1" applyFill="1" applyBorder="1" applyAlignment="1" applyProtection="1">
      <alignment horizontal="center" vertical="center" wrapText="1"/>
    </xf>
    <xf numFmtId="6" fontId="3" fillId="2" borderId="12" xfId="0" applyNumberFormat="1" applyFont="1" applyFill="1" applyBorder="1" applyAlignment="1">
      <alignment horizontal="right" vertical="center" wrapText="1"/>
    </xf>
    <xf numFmtId="6" fontId="3" fillId="0" borderId="12" xfId="0" applyNumberFormat="1" applyFont="1" applyBorder="1" applyAlignment="1">
      <alignment horizontal="right" vertical="center" wrapText="1"/>
    </xf>
    <xf numFmtId="0" fontId="4" fillId="12" borderId="12" xfId="0" applyFont="1" applyFill="1" applyBorder="1" applyAlignment="1">
      <alignment horizontal="center" vertical="center" wrapText="1"/>
    </xf>
    <xf numFmtId="165" fontId="3" fillId="0" borderId="12" xfId="0" applyNumberFormat="1" applyFont="1" applyBorder="1" applyAlignment="1">
      <alignment horizontal="center" vertical="center" wrapText="1"/>
    </xf>
    <xf numFmtId="49" fontId="4" fillId="0" borderId="12" xfId="6" applyFont="1" applyBorder="1" applyAlignment="1" applyProtection="1">
      <alignment horizontal="center" vertical="center" wrapText="1"/>
    </xf>
    <xf numFmtId="0" fontId="4" fillId="13"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11" fillId="0" borderId="12" xfId="7" applyFont="1" applyFill="1" applyBorder="1" applyAlignment="1" applyProtection="1">
      <alignment horizontal="center" vertical="center" wrapText="1"/>
    </xf>
    <xf numFmtId="3" fontId="3" fillId="14" borderId="12" xfId="0" applyNumberFormat="1" applyFont="1" applyFill="1" applyBorder="1" applyAlignment="1">
      <alignment horizontal="center" vertical="center" wrapText="1"/>
    </xf>
    <xf numFmtId="3" fontId="3" fillId="14" borderId="21" xfId="0" applyNumberFormat="1" applyFont="1" applyFill="1" applyBorder="1" applyAlignment="1">
      <alignment horizontal="center" vertical="center" wrapText="1"/>
    </xf>
    <xf numFmtId="0" fontId="4" fillId="9" borderId="22" xfId="0" applyFont="1" applyFill="1" applyBorder="1" applyAlignment="1">
      <alignment horizontal="center" vertical="center" wrapText="1"/>
    </xf>
    <xf numFmtId="3" fontId="3" fillId="14" borderId="23" xfId="0" applyNumberFormat="1" applyFont="1" applyFill="1" applyBorder="1" applyAlignment="1">
      <alignment horizontal="center" vertical="center" wrapText="1"/>
    </xf>
    <xf numFmtId="3" fontId="3" fillId="18" borderId="23" xfId="0" applyNumberFormat="1"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3" fillId="9" borderId="25" xfId="0" applyFont="1" applyFill="1" applyBorder="1" applyAlignment="1">
      <alignment horizontal="center" vertical="center" wrapText="1"/>
    </xf>
    <xf numFmtId="0" fontId="4" fillId="12" borderId="25" xfId="0" applyFont="1" applyFill="1" applyBorder="1" applyAlignment="1">
      <alignment horizontal="center" vertical="center" wrapText="1"/>
    </xf>
    <xf numFmtId="0" fontId="3" fillId="12" borderId="2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12" borderId="25" xfId="0" applyFont="1" applyFill="1" applyBorder="1" applyAlignment="1" applyProtection="1">
      <alignment horizontal="center" vertical="center" wrapText="1"/>
      <protection locked="0"/>
    </xf>
    <xf numFmtId="49" fontId="3" fillId="12" borderId="25" xfId="6" applyFont="1" applyFill="1" applyBorder="1" applyAlignment="1" applyProtection="1">
      <alignment horizontal="center" vertical="center" wrapText="1"/>
    </xf>
    <xf numFmtId="6" fontId="3" fillId="2" borderId="25" xfId="9" applyNumberFormat="1" applyFont="1" applyFill="1" applyBorder="1" applyAlignment="1" applyProtection="1">
      <alignment horizontal="center" vertical="center" wrapText="1"/>
    </xf>
    <xf numFmtId="6" fontId="3" fillId="2" borderId="25" xfId="0" applyNumberFormat="1" applyFont="1" applyFill="1" applyBorder="1" applyAlignment="1">
      <alignment horizontal="right" vertical="center" wrapText="1"/>
    </xf>
    <xf numFmtId="6" fontId="3" fillId="0" borderId="25" xfId="0" applyNumberFormat="1" applyFont="1" applyBorder="1" applyAlignment="1">
      <alignment horizontal="right" vertical="center" wrapText="1"/>
    </xf>
    <xf numFmtId="165" fontId="3" fillId="0" borderId="25" xfId="0" applyNumberFormat="1" applyFont="1" applyBorder="1" applyAlignment="1">
      <alignment horizontal="center" vertical="center" wrapText="1"/>
    </xf>
    <xf numFmtId="49" fontId="4" fillId="0" borderId="25" xfId="6" applyFont="1" applyBorder="1" applyAlignment="1" applyProtection="1">
      <alignment horizontal="center" vertical="center" wrapText="1"/>
    </xf>
    <xf numFmtId="0" fontId="4" fillId="13" borderId="25" xfId="0" applyFont="1" applyFill="1" applyBorder="1" applyAlignment="1">
      <alignment horizontal="center" vertical="center" wrapText="1"/>
    </xf>
    <xf numFmtId="0" fontId="4" fillId="0" borderId="25" xfId="0" applyFont="1" applyBorder="1" applyAlignment="1">
      <alignment horizontal="center" vertical="center" wrapText="1"/>
    </xf>
    <xf numFmtId="0" fontId="11" fillId="0" borderId="25" xfId="7" applyFont="1" applyFill="1" applyBorder="1" applyAlignment="1" applyProtection="1">
      <alignment horizontal="center" vertical="center" wrapText="1"/>
    </xf>
    <xf numFmtId="3" fontId="3" fillId="14" borderId="25" xfId="0" applyNumberFormat="1" applyFont="1" applyFill="1" applyBorder="1" applyAlignment="1">
      <alignment horizontal="center" vertical="center" wrapText="1"/>
    </xf>
    <xf numFmtId="3" fontId="3" fillId="14" borderId="26" xfId="0" applyNumberFormat="1" applyFont="1" applyFill="1" applyBorder="1" applyAlignment="1">
      <alignment horizontal="center" vertical="center" wrapText="1"/>
    </xf>
    <xf numFmtId="166" fontId="3" fillId="0" borderId="0" xfId="0" applyNumberFormat="1" applyFont="1" applyAlignment="1">
      <alignment wrapText="1"/>
    </xf>
    <xf numFmtId="0" fontId="31" fillId="2" borderId="0" xfId="0" applyFont="1" applyFill="1" applyAlignment="1">
      <alignment horizontal="center"/>
    </xf>
    <xf numFmtId="0" fontId="21" fillId="2" borderId="6" xfId="0" applyFont="1" applyFill="1" applyBorder="1" applyAlignment="1">
      <alignment horizontal="center" vertical="center" wrapText="1"/>
    </xf>
    <xf numFmtId="0" fontId="21" fillId="2" borderId="6" xfId="5" applyNumberFormat="1" applyFont="1" applyFill="1" applyBorder="1" applyAlignment="1" applyProtection="1">
      <alignment horizontal="center" vertical="center" wrapText="1"/>
    </xf>
    <xf numFmtId="0" fontId="31" fillId="2" borderId="0" xfId="0" applyFont="1" applyFill="1"/>
    <xf numFmtId="164" fontId="31" fillId="2" borderId="0" xfId="0" applyNumberFormat="1" applyFont="1" applyFill="1"/>
    <xf numFmtId="0" fontId="32" fillId="2" borderId="0" xfId="0" applyFont="1" applyFill="1"/>
    <xf numFmtId="0" fontId="21" fillId="2" borderId="6" xfId="0" applyFont="1" applyFill="1" applyBorder="1" applyAlignment="1">
      <alignment wrapText="1"/>
    </xf>
    <xf numFmtId="0" fontId="20" fillId="2" borderId="0" xfId="0" applyFont="1" applyFill="1"/>
    <xf numFmtId="164" fontId="20" fillId="2" borderId="0" xfId="0" applyNumberFormat="1" applyFont="1" applyFill="1"/>
    <xf numFmtId="0" fontId="0" fillId="2" borderId="0" xfId="0" applyFill="1"/>
    <xf numFmtId="0" fontId="31" fillId="2" borderId="0" xfId="0" applyFont="1" applyFill="1" applyAlignment="1">
      <alignment horizontal="center" wrapText="1"/>
    </xf>
    <xf numFmtId="0" fontId="21" fillId="2" borderId="0" xfId="0" applyFont="1" applyFill="1" applyAlignment="1">
      <alignment wrapText="1"/>
    </xf>
    <xf numFmtId="0" fontId="20" fillId="2" borderId="0" xfId="0" applyFont="1" applyFill="1" applyAlignment="1">
      <alignment horizontal="center" wrapText="1"/>
    </xf>
    <xf numFmtId="0" fontId="25" fillId="2" borderId="8" xfId="0" applyFont="1" applyFill="1" applyBorder="1" applyAlignment="1">
      <alignment horizontal="center" vertical="center" wrapText="1"/>
    </xf>
    <xf numFmtId="164" fontId="25" fillId="2" borderId="6" xfId="2" applyNumberFormat="1" applyFont="1" applyFill="1" applyBorder="1" applyAlignment="1" applyProtection="1">
      <alignment vertical="center" wrapText="1"/>
    </xf>
    <xf numFmtId="0" fontId="25" fillId="2" borderId="6" xfId="5" applyNumberFormat="1" applyFont="1" applyFill="1" applyBorder="1" applyAlignment="1" applyProtection="1">
      <alignment horizontal="center" vertical="center" wrapText="1"/>
    </xf>
    <xf numFmtId="0" fontId="21" fillId="2" borderId="0" xfId="0" applyFont="1" applyFill="1" applyAlignment="1">
      <alignment horizontal="center" wrapText="1"/>
    </xf>
    <xf numFmtId="0" fontId="4" fillId="2" borderId="8" xfId="0" applyFont="1" applyFill="1" applyBorder="1" applyAlignment="1">
      <alignment horizontal="center" vertical="center" wrapText="1"/>
    </xf>
    <xf numFmtId="0" fontId="20" fillId="2" borderId="0" xfId="0" applyFont="1" applyFill="1" applyAlignment="1">
      <alignment horizontal="center"/>
    </xf>
    <xf numFmtId="0" fontId="3" fillId="9" borderId="16" xfId="0" applyFont="1" applyFill="1" applyBorder="1" applyAlignment="1">
      <alignment horizontal="center" vertical="center" wrapText="1"/>
    </xf>
    <xf numFmtId="0" fontId="4" fillId="9" borderId="16" xfId="0" applyFont="1" applyFill="1" applyBorder="1" applyAlignment="1">
      <alignment horizontal="center" vertical="center" wrapText="1"/>
    </xf>
    <xf numFmtId="164" fontId="3" fillId="9" borderId="16" xfId="0" applyNumberFormat="1" applyFont="1" applyFill="1" applyBorder="1" applyAlignment="1">
      <alignment horizontal="center" vertical="center" wrapText="1"/>
    </xf>
    <xf numFmtId="0" fontId="3" fillId="9" borderId="16" xfId="2" applyNumberFormat="1" applyFont="1" applyFill="1" applyBorder="1" applyAlignment="1" applyProtection="1">
      <alignment horizontal="center" vertical="center" wrapText="1"/>
    </xf>
    <xf numFmtId="0" fontId="3" fillId="12"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12" borderId="16" xfId="0" applyFont="1" applyFill="1" applyBorder="1" applyAlignment="1" applyProtection="1">
      <alignment horizontal="center" vertical="center" wrapText="1"/>
      <protection locked="0"/>
    </xf>
    <xf numFmtId="49" fontId="3" fillId="12" borderId="16" xfId="6" applyFont="1" applyFill="1" applyBorder="1" applyAlignment="1" applyProtection="1">
      <alignment horizontal="center" vertical="center" wrapText="1"/>
    </xf>
    <xf numFmtId="164" fontId="3" fillId="2" borderId="11"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5" xfId="0" applyFont="1" applyFill="1" applyBorder="1" applyAlignment="1">
      <alignment horizontal="center" vertical="center" wrapText="1"/>
    </xf>
    <xf numFmtId="164" fontId="21" fillId="16" borderId="6" xfId="2" applyNumberFormat="1" applyFont="1" applyFill="1" applyBorder="1" applyAlignment="1" applyProtection="1">
      <alignment horizontal="right" vertical="center" wrapText="1"/>
    </xf>
    <xf numFmtId="0" fontId="21" fillId="11" borderId="9" xfId="5" applyNumberFormat="1" applyFont="1" applyFill="1" applyBorder="1" applyAlignment="1" applyProtection="1">
      <alignment horizontal="center" vertical="center" wrapText="1"/>
    </xf>
    <xf numFmtId="0" fontId="21" fillId="11" borderId="10" xfId="5" applyNumberFormat="1" applyFont="1" applyFill="1" applyBorder="1" applyAlignment="1" applyProtection="1">
      <alignment horizontal="center" vertical="center" wrapText="1"/>
    </xf>
    <xf numFmtId="0" fontId="21" fillId="11" borderId="8" xfId="5" applyNumberFormat="1" applyFont="1" applyFill="1" applyBorder="1" applyAlignment="1" applyProtection="1">
      <alignment horizontal="center" vertical="center" wrapText="1"/>
    </xf>
    <xf numFmtId="0" fontId="0" fillId="0" borderId="14" xfId="0" applyBorder="1" applyAlignment="1">
      <alignment horizontal="center"/>
    </xf>
    <xf numFmtId="0" fontId="20" fillId="16" borderId="15" xfId="0" applyFont="1" applyFill="1" applyBorder="1" applyAlignment="1">
      <alignment horizontal="center"/>
    </xf>
    <xf numFmtId="0" fontId="28" fillId="15" borderId="15" xfId="0" applyFont="1" applyFill="1" applyBorder="1" applyAlignment="1">
      <alignment horizontal="center"/>
    </xf>
    <xf numFmtId="0" fontId="5" fillId="3" borderId="27" xfId="4" applyFont="1" applyFill="1" applyBorder="1" applyAlignment="1">
      <alignment horizontal="center" vertical="center" wrapText="1"/>
    </xf>
    <xf numFmtId="0" fontId="5" fillId="3" borderId="28" xfId="4" applyFont="1" applyFill="1" applyBorder="1" applyAlignment="1">
      <alignment horizontal="center" vertical="center" wrapText="1"/>
    </xf>
    <xf numFmtId="0" fontId="5" fillId="3" borderId="29" xfId="4" applyFont="1" applyFill="1" applyBorder="1" applyAlignment="1">
      <alignment horizontal="center" vertical="center" wrapText="1"/>
    </xf>
  </cellXfs>
  <cellStyles count="11">
    <cellStyle name="BodyStyle" xfId="6" xr:uid="{00000000-0005-0000-0000-000000000000}"/>
    <cellStyle name="HeaderStyle" xfId="3" xr:uid="{00000000-0005-0000-0000-000001000000}"/>
    <cellStyle name="Hipervínculo" xfId="7" builtinId="8"/>
    <cellStyle name="Millares" xfId="1" builtinId="3"/>
    <cellStyle name="Moneda" xfId="2" builtinId="4"/>
    <cellStyle name="Moneda 2" xfId="5" xr:uid="{00000000-0005-0000-0000-000005000000}"/>
    <cellStyle name="Moneda 2 2" xfId="9" xr:uid="{00000000-0005-0000-0000-000006000000}"/>
    <cellStyle name="Moneda 3" xfId="8" xr:uid="{00000000-0005-0000-0000-000007000000}"/>
    <cellStyle name="Normal" xfId="0" builtinId="0"/>
    <cellStyle name="Normal 2" xfId="4" xr:uid="{00000000-0005-0000-0000-000009000000}"/>
    <cellStyle name="Normal 4"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2968895</xdr:colOff>
      <xdr:row>1</xdr:row>
      <xdr:rowOff>161636</xdr:rowOff>
    </xdr:from>
    <xdr:to>
      <xdr:col>5</xdr:col>
      <xdr:colOff>1576161</xdr:colOff>
      <xdr:row>10</xdr:row>
      <xdr:rowOff>79375</xdr:rowOff>
    </xdr:to>
    <xdr:pic>
      <xdr:nvPicPr>
        <xdr:cNvPr id="2" name="Imagen 0" descr="Descripción: logo horizontal negro 2.jpg">
          <a:extLst>
            <a:ext uri="{FF2B5EF4-FFF2-40B4-BE49-F238E27FC236}">
              <a16:creationId xmlns:a16="http://schemas.microsoft.com/office/drawing/2014/main" id="{EEFCEA30-DC17-4C19-8608-C883D7EABB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270" y="479136"/>
          <a:ext cx="6909891" cy="3013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oyectopresupuesto_2023\docuemntos%20finales%20para%20resolucion\Presupuesto_para_resolu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pia%20171119\Copia%20060718\DATOS\MisDocumentos\Plan%20de%20Compras\Plan%20de%20Compras%202023\Formato%20PAA%20Funcionamien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V5"/>
      <sheetName val="Hoja3"/>
      <sheetName val="ingresos2022_12_sep"/>
      <sheetName val="escenario 2 sin equi"/>
      <sheetName val="Funcionamiento oca 44 SEMAN (2)"/>
      <sheetName val="Hoja4"/>
      <sheetName val="Pres inversión 2023"/>
      <sheetName val="Hoja2"/>
      <sheetName val="Hoja1"/>
      <sheetName val="12,5 %Compar Y y G (2)"/>
      <sheetName val="13,5 %Compar Y y G"/>
      <sheetName val="Recuros nación "/>
      <sheetName val="tabla dina inver"/>
      <sheetName val="historico nominas "/>
      <sheetName val="Funcionamiento oca 43 SEMANAS"/>
      <sheetName val="INGRESOS"/>
      <sheetName val="NOMINA HISTORICO"/>
      <sheetName val="gastos de personal "/>
      <sheetName val="Inversión"/>
      <sheetName val="LISTAS"/>
    </sheetNames>
    <sheetDataSet>
      <sheetData sheetId="0"/>
      <sheetData sheetId="1"/>
      <sheetData sheetId="2"/>
      <sheetData sheetId="3"/>
      <sheetData sheetId="4"/>
      <sheetData sheetId="5"/>
      <sheetData sheetId="6">
        <row r="90">
          <cell r="I90">
            <v>0</v>
          </cell>
        </row>
      </sheetData>
      <sheetData sheetId="7"/>
      <sheetData sheetId="8"/>
      <sheetData sheetId="9"/>
      <sheetData sheetId="10"/>
      <sheetData sheetId="11">
        <row r="13">
          <cell r="I13">
            <v>107164639730.46182</v>
          </cell>
        </row>
      </sheetData>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Funcionamiento"/>
      <sheetName val="Listas Funcionamiento"/>
      <sheetName val="Listas"/>
      <sheetName val="PAA Funcionamiento 2023"/>
      <sheetName val="Rubros"/>
      <sheetName val="Hoja1"/>
      <sheetName val="Resumen"/>
      <sheetName val="Hoja6"/>
      <sheetName val="Excel saida"/>
      <sheetName val="Observaciones"/>
      <sheetName val="Hoja2"/>
      <sheetName val="Hoja4"/>
      <sheetName val="Hoja3"/>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493"/>
  <sheetViews>
    <sheetView tabSelected="1" topLeftCell="X1" zoomScale="60" zoomScaleNormal="60" zoomScalePageLayoutView="25" workbookViewId="0">
      <selection activeCell="AC15" sqref="AC15"/>
    </sheetView>
  </sheetViews>
  <sheetFormatPr baseColWidth="10" defaultColWidth="53.140625" defaultRowHeight="84.75" customHeight="1" x14ac:dyDescent="0.2"/>
  <cols>
    <col min="1" max="1" width="14.5703125" style="9" customWidth="1"/>
    <col min="2" max="2" width="53.140625" style="9" customWidth="1"/>
    <col min="3" max="5" width="23.85546875" style="9" customWidth="1"/>
    <col min="6" max="6" width="31.7109375" style="9" customWidth="1"/>
    <col min="7" max="7" width="54.28515625" style="36" customWidth="1"/>
    <col min="8" max="8" width="65.7109375" style="36" customWidth="1"/>
    <col min="9" max="9" width="32" style="30" customWidth="1"/>
    <col min="10" max="10" width="16.5703125" style="30" customWidth="1"/>
    <col min="11" max="11" width="15.85546875" style="30" customWidth="1"/>
    <col min="12" max="12" width="28.42578125" style="37" customWidth="1"/>
    <col min="13" max="13" width="52.7109375" style="35" customWidth="1"/>
    <col min="14" max="14" width="59.28515625" style="9" customWidth="1"/>
    <col min="15" max="15" width="20.85546875" style="9" customWidth="1"/>
    <col min="16" max="16" width="22.7109375" style="9" customWidth="1"/>
    <col min="17" max="17" width="22.140625" style="9" customWidth="1"/>
    <col min="18" max="18" width="22.42578125" style="9" customWidth="1"/>
    <col min="19" max="19" width="27.7109375" style="9" customWidth="1"/>
    <col min="20" max="20" width="29.85546875" style="36" customWidth="1"/>
    <col min="21" max="21" width="28.85546875" style="9" customWidth="1"/>
    <col min="22" max="22" width="34.5703125" style="9" customWidth="1"/>
    <col min="23" max="23" width="29.85546875" style="9" customWidth="1"/>
    <col min="24" max="24" width="26.7109375" style="9" customWidth="1"/>
    <col min="25" max="25" width="53.140625" style="9" customWidth="1"/>
    <col min="26" max="26" width="22.140625" style="9" customWidth="1"/>
    <col min="27" max="27" width="53.140625" style="9" customWidth="1"/>
    <col min="28" max="28" width="27" style="9" customWidth="1"/>
    <col min="29" max="31" width="53.140625" style="9" customWidth="1"/>
    <col min="32" max="32" width="27.140625" style="9" customWidth="1"/>
    <col min="33" max="33" width="26.28515625" style="9" customWidth="1"/>
    <col min="34" max="34" width="25" style="9" customWidth="1"/>
    <col min="35" max="35" width="23.85546875" style="9" customWidth="1"/>
    <col min="36" max="36" width="22.7109375" style="9" customWidth="1"/>
    <col min="37" max="37" width="25.7109375" style="9" customWidth="1"/>
    <col min="38" max="41" width="53.140625" style="29"/>
    <col min="42" max="16384" width="53.140625" style="9"/>
  </cols>
  <sheetData>
    <row r="1" spans="1:41" ht="24.75" customHeight="1" thickTop="1" x14ac:dyDescent="0.2">
      <c r="A1" s="1"/>
      <c r="B1" s="2"/>
      <c r="C1" s="3"/>
      <c r="D1" s="3"/>
      <c r="E1" s="3"/>
      <c r="F1" s="3"/>
      <c r="G1" s="4"/>
      <c r="H1" s="4"/>
      <c r="I1" s="3"/>
      <c r="J1" s="3"/>
      <c r="K1" s="3"/>
      <c r="L1" s="5"/>
      <c r="M1" s="6"/>
      <c r="N1" s="5"/>
      <c r="O1" s="5"/>
      <c r="P1" s="5"/>
      <c r="Q1" s="5"/>
      <c r="R1" s="5"/>
      <c r="S1" s="5"/>
      <c r="T1" s="6"/>
      <c r="U1" s="5"/>
      <c r="V1" s="5"/>
      <c r="W1" s="5"/>
      <c r="X1" s="5"/>
      <c r="Y1" s="5"/>
      <c r="Z1" s="5"/>
      <c r="AA1" s="5"/>
      <c r="AB1" s="5"/>
      <c r="AC1" s="5"/>
      <c r="AD1" s="5"/>
      <c r="AE1" s="5"/>
      <c r="AF1" s="5"/>
      <c r="AG1" s="5"/>
      <c r="AH1" s="5"/>
      <c r="AI1" s="5"/>
      <c r="AJ1" s="5"/>
      <c r="AK1" s="7"/>
    </row>
    <row r="2" spans="1:41" ht="42" customHeight="1" x14ac:dyDescent="0.2">
      <c r="A2" s="1"/>
      <c r="B2" s="10"/>
      <c r="C2" s="8"/>
      <c r="D2" s="8"/>
      <c r="E2" s="8"/>
      <c r="F2" s="8"/>
      <c r="G2" s="11"/>
      <c r="H2" s="11"/>
      <c r="I2" s="8"/>
      <c r="J2" s="8"/>
      <c r="K2" s="8"/>
      <c r="L2" s="12"/>
      <c r="M2" s="13"/>
      <c r="N2" s="12"/>
      <c r="O2" s="12"/>
      <c r="P2" s="12"/>
      <c r="Q2" s="12"/>
      <c r="R2" s="12"/>
      <c r="S2" s="12"/>
      <c r="T2" s="13"/>
      <c r="U2" s="12"/>
      <c r="V2" s="12"/>
      <c r="W2" s="12"/>
      <c r="X2" s="12"/>
      <c r="Y2" s="12"/>
      <c r="Z2" s="12"/>
      <c r="AA2" s="12"/>
      <c r="AB2" s="12"/>
      <c r="AC2" s="12"/>
      <c r="AD2" s="12"/>
      <c r="AE2" s="12"/>
      <c r="AF2" s="12"/>
      <c r="AG2" s="12"/>
      <c r="AH2" s="12"/>
      <c r="AI2" s="12"/>
      <c r="AJ2" s="12"/>
      <c r="AK2" s="14"/>
    </row>
    <row r="3" spans="1:41" ht="84.75" customHeight="1" x14ac:dyDescent="0.2">
      <c r="A3" s="1"/>
      <c r="B3" s="246" t="s">
        <v>0</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8"/>
    </row>
    <row r="4" spans="1:41" ht="18.75" customHeight="1" x14ac:dyDescent="0.2">
      <c r="A4" s="1"/>
      <c r="B4" s="246"/>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8"/>
    </row>
    <row r="5" spans="1:41" s="18" customFormat="1" ht="15.75" customHeight="1" x14ac:dyDescent="0.2">
      <c r="A5" s="1"/>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8"/>
      <c r="AL5" s="29"/>
      <c r="AM5" s="29"/>
      <c r="AN5" s="29"/>
      <c r="AO5" s="29"/>
    </row>
    <row r="6" spans="1:41" s="18" customFormat="1" ht="15.75" customHeight="1" x14ac:dyDescent="0.2">
      <c r="A6" s="1"/>
      <c r="B6" s="16"/>
      <c r="C6" s="1"/>
      <c r="D6" s="1"/>
      <c r="E6" s="1"/>
      <c r="F6" s="1"/>
      <c r="G6" s="17"/>
      <c r="H6" s="17"/>
      <c r="I6" s="12"/>
      <c r="J6" s="12"/>
      <c r="K6" s="12"/>
      <c r="L6" s="12"/>
      <c r="M6" s="13"/>
      <c r="N6" s="12"/>
      <c r="T6" s="19"/>
      <c r="AA6" s="256" t="s">
        <v>1</v>
      </c>
      <c r="AB6" s="257"/>
      <c r="AC6" s="257"/>
      <c r="AD6" s="258"/>
      <c r="AE6" s="1"/>
      <c r="AF6" s="1"/>
      <c r="AG6" s="1"/>
      <c r="AH6" s="1"/>
      <c r="AI6" s="1"/>
      <c r="AJ6" s="1"/>
      <c r="AK6" s="20"/>
      <c r="AL6" s="29"/>
      <c r="AM6" s="29"/>
      <c r="AN6" s="29"/>
      <c r="AO6" s="29"/>
    </row>
    <row r="7" spans="1:41" s="18" customFormat="1" ht="15.75" customHeight="1" x14ac:dyDescent="0.2">
      <c r="A7" s="1"/>
      <c r="B7" s="16"/>
      <c r="C7" s="1"/>
      <c r="D7" s="1"/>
      <c r="E7" s="1"/>
      <c r="F7" s="1"/>
      <c r="G7" s="1"/>
      <c r="H7" s="17"/>
      <c r="I7" s="1"/>
      <c r="J7" s="1"/>
      <c r="K7" s="1"/>
      <c r="L7" s="1"/>
      <c r="M7" s="17"/>
      <c r="N7" s="1"/>
      <c r="O7" s="1"/>
      <c r="P7" s="1"/>
      <c r="Q7" s="1"/>
      <c r="R7" s="1"/>
      <c r="S7" s="1"/>
      <c r="T7" s="17"/>
      <c r="U7" s="1"/>
      <c r="V7" s="1"/>
      <c r="W7" s="1"/>
      <c r="X7" s="1"/>
      <c r="Y7" s="1"/>
      <c r="Z7" s="1"/>
      <c r="AA7" s="256" t="s">
        <v>2</v>
      </c>
      <c r="AB7" s="257"/>
      <c r="AC7" s="257"/>
      <c r="AD7" s="258"/>
      <c r="AE7" s="1"/>
      <c r="AF7" s="1"/>
      <c r="AG7" s="1"/>
      <c r="AH7" s="1"/>
      <c r="AI7" s="1"/>
      <c r="AJ7" s="1"/>
      <c r="AK7" s="20"/>
      <c r="AL7" s="29"/>
      <c r="AM7" s="29"/>
      <c r="AN7" s="29"/>
      <c r="AO7" s="29"/>
    </row>
    <row r="8" spans="1:41" s="18" customFormat="1" ht="15.75" customHeight="1" x14ac:dyDescent="0.2">
      <c r="A8" s="1"/>
      <c r="B8" s="16"/>
      <c r="C8" s="1"/>
      <c r="D8" s="1"/>
      <c r="E8" s="1"/>
      <c r="F8" s="1"/>
      <c r="G8" s="1"/>
      <c r="H8" s="17"/>
      <c r="I8" s="1"/>
      <c r="J8" s="1"/>
      <c r="K8" s="1"/>
      <c r="L8" s="1"/>
      <c r="M8" s="17"/>
      <c r="N8" s="1"/>
      <c r="O8" s="1"/>
      <c r="P8" s="1"/>
      <c r="Q8" s="1"/>
      <c r="R8" s="1"/>
      <c r="S8" s="1"/>
      <c r="T8" s="17"/>
      <c r="U8" s="1"/>
      <c r="V8" s="1"/>
      <c r="W8" s="1"/>
      <c r="X8" s="1"/>
      <c r="Y8" s="1"/>
      <c r="Z8" s="1"/>
      <c r="AA8" s="256" t="s">
        <v>3</v>
      </c>
      <c r="AB8" s="257"/>
      <c r="AC8" s="257"/>
      <c r="AD8" s="258"/>
      <c r="AE8" s="1"/>
      <c r="AF8" s="1"/>
      <c r="AG8" s="1"/>
      <c r="AH8" s="1"/>
      <c r="AI8" s="1"/>
      <c r="AJ8" s="1"/>
      <c r="AK8" s="20"/>
      <c r="AL8" s="29"/>
      <c r="AM8" s="29"/>
      <c r="AN8" s="29"/>
      <c r="AO8" s="29"/>
    </row>
    <row r="9" spans="1:41" s="18" customFormat="1" ht="15.75" customHeight="1" x14ac:dyDescent="0.2">
      <c r="A9" s="1"/>
      <c r="B9" s="10"/>
      <c r="C9" s="8"/>
      <c r="D9" s="8"/>
      <c r="E9" s="8"/>
      <c r="F9" s="8"/>
      <c r="G9" s="1"/>
      <c r="H9" s="17"/>
      <c r="I9" s="1"/>
      <c r="J9" s="1"/>
      <c r="K9" s="1"/>
      <c r="L9" s="1"/>
      <c r="M9" s="17"/>
      <c r="N9" s="1"/>
      <c r="O9" s="1"/>
      <c r="P9" s="1"/>
      <c r="Q9" s="1"/>
      <c r="R9" s="1"/>
      <c r="S9" s="1"/>
      <c r="T9" s="17"/>
      <c r="U9" s="1"/>
      <c r="V9" s="1"/>
      <c r="W9" s="1"/>
      <c r="X9" s="1"/>
      <c r="Y9" s="1"/>
      <c r="Z9" s="1"/>
      <c r="AA9" s="256" t="s">
        <v>4</v>
      </c>
      <c r="AB9" s="257"/>
      <c r="AC9" s="257"/>
      <c r="AD9" s="258"/>
      <c r="AE9" s="1"/>
      <c r="AF9" s="1"/>
      <c r="AG9" s="1"/>
      <c r="AH9" s="1"/>
      <c r="AI9" s="1"/>
      <c r="AJ9" s="1"/>
      <c r="AK9" s="20"/>
      <c r="AL9" s="29"/>
      <c r="AM9" s="29"/>
      <c r="AN9" s="29"/>
      <c r="AO9" s="29"/>
    </row>
    <row r="10" spans="1:41" ht="15.75" customHeight="1" x14ac:dyDescent="0.2">
      <c r="A10" s="1"/>
      <c r="B10" s="10"/>
      <c r="C10" s="8"/>
      <c r="D10" s="8"/>
      <c r="E10" s="8"/>
      <c r="F10" s="8"/>
      <c r="G10" s="1"/>
      <c r="H10" s="17"/>
      <c r="I10" s="1"/>
      <c r="J10" s="1"/>
      <c r="K10" s="1"/>
      <c r="L10" s="1"/>
      <c r="M10" s="17"/>
      <c r="N10" s="1"/>
      <c r="O10" s="1"/>
      <c r="P10" s="1"/>
      <c r="Q10" s="1"/>
      <c r="R10" s="1"/>
      <c r="S10" s="1"/>
      <c r="T10" s="17"/>
      <c r="U10" s="1"/>
      <c r="V10" s="1"/>
      <c r="W10" s="1"/>
      <c r="X10" s="1"/>
      <c r="Y10" s="1"/>
      <c r="Z10" s="1"/>
      <c r="AA10" s="256" t="s">
        <v>5</v>
      </c>
      <c r="AB10" s="257"/>
      <c r="AC10" s="257"/>
      <c r="AD10" s="258"/>
      <c r="AE10" s="1"/>
      <c r="AF10" s="1"/>
      <c r="AG10" s="1"/>
      <c r="AH10" s="1"/>
      <c r="AI10" s="1"/>
      <c r="AJ10" s="1"/>
      <c r="AK10" s="20"/>
    </row>
    <row r="11" spans="1:41" ht="15.75" customHeight="1" x14ac:dyDescent="0.2">
      <c r="A11" s="1"/>
      <c r="B11" s="10"/>
      <c r="C11" s="8"/>
      <c r="D11" s="8"/>
      <c r="E11" s="8"/>
      <c r="F11" s="8"/>
      <c r="G11" s="1"/>
      <c r="H11" s="17"/>
      <c r="I11" s="1"/>
      <c r="J11" s="1"/>
      <c r="K11" s="1"/>
      <c r="L11" s="1"/>
      <c r="M11" s="17"/>
      <c r="N11" s="1"/>
      <c r="O11" s="1"/>
      <c r="P11" s="1"/>
      <c r="Q11" s="1"/>
      <c r="R11" s="1"/>
      <c r="S11" s="1"/>
      <c r="T11" s="17"/>
      <c r="U11" s="1"/>
      <c r="V11" s="1"/>
      <c r="W11" s="1"/>
      <c r="X11" s="1"/>
      <c r="Y11" s="1"/>
      <c r="Z11" s="1"/>
      <c r="AA11" s="256" t="s">
        <v>1221</v>
      </c>
      <c r="AB11" s="257"/>
      <c r="AC11" s="257"/>
      <c r="AD11" s="258"/>
      <c r="AE11" s="1"/>
      <c r="AF11" s="1"/>
      <c r="AG11" s="1"/>
      <c r="AH11" s="1"/>
      <c r="AI11" s="1"/>
      <c r="AJ11" s="1"/>
      <c r="AK11" s="20"/>
    </row>
    <row r="12" spans="1:41" s="18" customFormat="1" ht="15.75" customHeight="1" x14ac:dyDescent="0.2">
      <c r="A12" s="1"/>
      <c r="B12" s="10"/>
      <c r="C12" s="8"/>
      <c r="D12" s="8"/>
      <c r="E12" s="8"/>
      <c r="F12" s="8"/>
      <c r="G12" s="1"/>
      <c r="H12" s="17"/>
      <c r="I12" s="1"/>
      <c r="J12" s="1"/>
      <c r="K12" s="1"/>
      <c r="L12" s="1"/>
      <c r="M12" s="17"/>
      <c r="N12" s="1"/>
      <c r="O12" s="1"/>
      <c r="P12" s="1"/>
      <c r="Q12" s="1"/>
      <c r="R12" s="1"/>
      <c r="S12" s="1"/>
      <c r="T12" s="17"/>
      <c r="U12" s="1"/>
      <c r="V12" s="1"/>
      <c r="W12" s="1"/>
      <c r="X12" s="1"/>
      <c r="Y12" s="1"/>
      <c r="Z12" s="1"/>
      <c r="AA12" s="1"/>
      <c r="AB12" s="1"/>
      <c r="AC12" s="1"/>
      <c r="AD12" s="1"/>
      <c r="AE12" s="1"/>
      <c r="AF12" s="1"/>
      <c r="AG12" s="1"/>
      <c r="AH12" s="1"/>
      <c r="AI12" s="1"/>
      <c r="AJ12" s="1"/>
      <c r="AK12" s="20"/>
      <c r="AL12" s="29"/>
      <c r="AM12" s="29"/>
      <c r="AN12" s="29"/>
      <c r="AO12" s="29"/>
    </row>
    <row r="13" spans="1:41" s="18" customFormat="1" ht="34.5" customHeight="1" x14ac:dyDescent="0.2">
      <c r="A13" s="1"/>
      <c r="B13" s="10"/>
      <c r="C13" s="8"/>
      <c r="D13" s="8"/>
      <c r="E13" s="8"/>
      <c r="F13" s="8"/>
      <c r="G13" s="1"/>
      <c r="H13" s="17"/>
      <c r="I13" s="1"/>
      <c r="J13" s="1"/>
      <c r="K13" s="1"/>
      <c r="L13" s="1"/>
      <c r="M13" s="17"/>
      <c r="N13" s="1"/>
      <c r="O13" s="1"/>
      <c r="P13" s="1"/>
      <c r="Q13" s="1"/>
      <c r="R13" s="1"/>
      <c r="S13" s="1"/>
      <c r="T13" s="17"/>
      <c r="U13" s="1"/>
      <c r="V13" s="1"/>
      <c r="W13" s="1"/>
      <c r="X13" s="1"/>
      <c r="Y13" s="1"/>
      <c r="Z13" s="1"/>
      <c r="AA13" s="1"/>
      <c r="AB13" s="1"/>
      <c r="AC13" s="1"/>
      <c r="AD13" s="1"/>
      <c r="AE13" s="1"/>
      <c r="AF13" s="1"/>
      <c r="AG13" s="1"/>
      <c r="AH13" s="1"/>
      <c r="AI13" s="1"/>
      <c r="AJ13" s="1"/>
      <c r="AK13" s="20"/>
      <c r="AL13" s="29"/>
      <c r="AM13" s="29"/>
      <c r="AN13" s="29"/>
      <c r="AO13" s="29"/>
    </row>
    <row r="14" spans="1:41" s="25" customFormat="1" ht="6" customHeight="1" x14ac:dyDescent="0.2">
      <c r="A14" s="1"/>
      <c r="B14" s="21"/>
      <c r="C14" s="22"/>
      <c r="D14" s="22"/>
      <c r="E14" s="22"/>
      <c r="F14" s="22"/>
      <c r="G14" s="1"/>
      <c r="H14" s="17"/>
      <c r="I14" s="1"/>
      <c r="J14" s="1"/>
      <c r="K14" s="1"/>
      <c r="L14" s="1"/>
      <c r="M14" s="17"/>
      <c r="N14" s="1"/>
      <c r="O14" s="1"/>
      <c r="P14" s="1"/>
      <c r="Q14" s="1"/>
      <c r="R14" s="1"/>
      <c r="S14" s="1"/>
      <c r="T14" s="17"/>
      <c r="U14" s="1"/>
      <c r="V14" s="1"/>
      <c r="W14" s="1"/>
      <c r="X14" s="1"/>
      <c r="Y14" s="1"/>
      <c r="Z14" s="1"/>
      <c r="AA14" s="1"/>
      <c r="AB14" s="1"/>
      <c r="AC14" s="1"/>
      <c r="AD14" s="1"/>
      <c r="AE14" s="1"/>
      <c r="AF14" s="15" t="s">
        <v>6</v>
      </c>
      <c r="AG14" s="15"/>
      <c r="AH14" s="15"/>
      <c r="AI14" s="23" t="s">
        <v>7</v>
      </c>
      <c r="AJ14" s="23"/>
      <c r="AK14" s="24"/>
      <c r="AL14" s="41"/>
      <c r="AM14" s="41"/>
      <c r="AN14" s="41"/>
      <c r="AO14" s="41"/>
    </row>
    <row r="15" spans="1:41" s="25" customFormat="1" ht="84.75" customHeight="1" thickBot="1" x14ac:dyDescent="0.25">
      <c r="A15" s="1"/>
      <c r="B15" s="21"/>
      <c r="C15" s="22"/>
      <c r="D15" s="22"/>
      <c r="E15" s="22"/>
      <c r="F15" s="22"/>
      <c r="G15" s="1"/>
      <c r="H15" s="17"/>
      <c r="I15" s="1">
        <f>SUBTOTAL(9,I17:I424)</f>
        <v>33610355537.259998</v>
      </c>
      <c r="J15" s="1"/>
      <c r="K15" s="1"/>
      <c r="L15" s="1"/>
      <c r="M15" s="17"/>
      <c r="N15" s="1"/>
      <c r="O15" s="1"/>
      <c r="P15" s="1"/>
      <c r="Q15" s="1"/>
      <c r="R15" s="1"/>
      <c r="S15" s="1"/>
      <c r="T15" s="17"/>
      <c r="U15" s="1"/>
      <c r="V15" s="1"/>
      <c r="W15" s="1"/>
      <c r="X15" s="1"/>
      <c r="Y15" s="1"/>
      <c r="Z15" s="1"/>
      <c r="AA15" s="1"/>
      <c r="AB15" s="1"/>
      <c r="AC15" s="1"/>
      <c r="AD15" s="1"/>
      <c r="AE15" s="1"/>
      <c r="AF15" s="15"/>
      <c r="AG15" s="15"/>
      <c r="AH15" s="15"/>
      <c r="AI15" s="23"/>
      <c r="AJ15" s="23"/>
      <c r="AK15" s="24"/>
      <c r="AL15" s="41"/>
      <c r="AM15" s="41"/>
      <c r="AN15" s="41"/>
      <c r="AO15" s="41"/>
    </row>
    <row r="16" spans="1:41" ht="84.75" customHeight="1" thickBot="1" x14ac:dyDescent="0.25">
      <c r="A16" s="1"/>
      <c r="B16" s="133" t="s">
        <v>8</v>
      </c>
      <c r="C16" s="134" t="s">
        <v>9</v>
      </c>
      <c r="D16" s="134" t="s">
        <v>9</v>
      </c>
      <c r="E16" s="134" t="s">
        <v>10</v>
      </c>
      <c r="F16" s="134" t="s">
        <v>11</v>
      </c>
      <c r="G16" s="134" t="s">
        <v>12</v>
      </c>
      <c r="H16" s="134" t="s">
        <v>13</v>
      </c>
      <c r="I16" s="134" t="s">
        <v>14</v>
      </c>
      <c r="J16" s="134" t="s">
        <v>15</v>
      </c>
      <c r="K16" s="134" t="s">
        <v>16</v>
      </c>
      <c r="L16" s="135" t="s">
        <v>17</v>
      </c>
      <c r="M16" s="135" t="s">
        <v>18</v>
      </c>
      <c r="N16" s="135" t="s">
        <v>19</v>
      </c>
      <c r="O16" s="135" t="s">
        <v>20</v>
      </c>
      <c r="P16" s="135" t="s">
        <v>21</v>
      </c>
      <c r="Q16" s="135" t="s">
        <v>22</v>
      </c>
      <c r="R16" s="135" t="s">
        <v>23</v>
      </c>
      <c r="S16" s="135" t="s">
        <v>24</v>
      </c>
      <c r="T16" s="136" t="s">
        <v>25</v>
      </c>
      <c r="U16" s="137" t="s">
        <v>26</v>
      </c>
      <c r="V16" s="137" t="s">
        <v>27</v>
      </c>
      <c r="W16" s="138" t="s">
        <v>28</v>
      </c>
      <c r="X16" s="138" t="s">
        <v>29</v>
      </c>
      <c r="Y16" s="134" t="s">
        <v>30</v>
      </c>
      <c r="Z16" s="134" t="s">
        <v>31</v>
      </c>
      <c r="AA16" s="134" t="s">
        <v>32</v>
      </c>
      <c r="AB16" s="134" t="s">
        <v>33</v>
      </c>
      <c r="AC16" s="134" t="s">
        <v>34</v>
      </c>
      <c r="AD16" s="139" t="s">
        <v>35</v>
      </c>
      <c r="AE16" s="138" t="s">
        <v>36</v>
      </c>
      <c r="AF16" s="140" t="s">
        <v>37</v>
      </c>
      <c r="AG16" s="140" t="s">
        <v>38</v>
      </c>
      <c r="AH16" s="140" t="s">
        <v>39</v>
      </c>
      <c r="AI16" s="141" t="s">
        <v>37</v>
      </c>
      <c r="AJ16" s="141" t="s">
        <v>40</v>
      </c>
      <c r="AK16" s="142" t="s">
        <v>41</v>
      </c>
    </row>
    <row r="17" spans="1:37" ht="84.75" customHeight="1" thickBot="1" x14ac:dyDescent="0.25">
      <c r="A17" s="1"/>
      <c r="B17" s="174" t="s">
        <v>42</v>
      </c>
      <c r="C17" s="175">
        <v>1310</v>
      </c>
      <c r="D17" s="175" t="s">
        <v>43</v>
      </c>
      <c r="E17" s="175" t="s">
        <v>44</v>
      </c>
      <c r="F17" s="175" t="s">
        <v>45</v>
      </c>
      <c r="G17" s="175" t="s">
        <v>46</v>
      </c>
      <c r="H17" s="175" t="s">
        <v>47</v>
      </c>
      <c r="I17" s="176">
        <v>350000000</v>
      </c>
      <c r="J17" s="177" t="s">
        <v>48</v>
      </c>
      <c r="K17" s="177" t="s">
        <v>48</v>
      </c>
      <c r="L17" s="178" t="s">
        <v>49</v>
      </c>
      <c r="M17" s="179" t="s">
        <v>50</v>
      </c>
      <c r="N17" s="180" t="str">
        <f t="shared" ref="N17:N37" si="0">H17</f>
        <v>Gastos por Caja Menor</v>
      </c>
      <c r="O17" s="181">
        <v>1</v>
      </c>
      <c r="P17" s="181">
        <v>1</v>
      </c>
      <c r="Q17" s="182">
        <v>11</v>
      </c>
      <c r="R17" s="183" t="s">
        <v>51</v>
      </c>
      <c r="S17" s="184" t="s">
        <v>52</v>
      </c>
      <c r="T17" s="185" t="s">
        <v>53</v>
      </c>
      <c r="U17" s="186">
        <f>+I17</f>
        <v>350000000</v>
      </c>
      <c r="V17" s="187">
        <f>+U17</f>
        <v>350000000</v>
      </c>
      <c r="W17" s="188" t="s">
        <v>54</v>
      </c>
      <c r="X17" s="188" t="s">
        <v>55</v>
      </c>
      <c r="Y17" s="189" t="s">
        <v>56</v>
      </c>
      <c r="Z17" s="190" t="s">
        <v>57</v>
      </c>
      <c r="AA17" s="191" t="s">
        <v>42</v>
      </c>
      <c r="AB17" s="192" t="s">
        <v>58</v>
      </c>
      <c r="AC17" s="193" t="s">
        <v>59</v>
      </c>
      <c r="AD17" s="188" t="s">
        <v>54</v>
      </c>
      <c r="AE17" s="188" t="s">
        <v>60</v>
      </c>
      <c r="AF17" s="194" t="s">
        <v>61</v>
      </c>
      <c r="AG17" s="194" t="s">
        <v>62</v>
      </c>
      <c r="AH17" s="194" t="s">
        <v>63</v>
      </c>
      <c r="AI17" s="194" t="s">
        <v>64</v>
      </c>
      <c r="AJ17" s="194" t="s">
        <v>64</v>
      </c>
      <c r="AK17" s="195" t="s">
        <v>64</v>
      </c>
    </row>
    <row r="18" spans="1:37" ht="84.75" customHeight="1" thickBot="1" x14ac:dyDescent="0.25">
      <c r="A18" s="1"/>
      <c r="B18" s="196" t="s">
        <v>42</v>
      </c>
      <c r="C18" s="143">
        <v>1310</v>
      </c>
      <c r="D18" s="143" t="s">
        <v>43</v>
      </c>
      <c r="E18" s="143" t="s">
        <v>44</v>
      </c>
      <c r="F18" s="175" t="s">
        <v>65</v>
      </c>
      <c r="G18" s="175" t="s">
        <v>46</v>
      </c>
      <c r="H18" s="175" t="s">
        <v>47</v>
      </c>
      <c r="I18" s="176">
        <v>460000000</v>
      </c>
      <c r="J18" s="177" t="s">
        <v>48</v>
      </c>
      <c r="K18" s="177" t="s">
        <v>48</v>
      </c>
      <c r="L18" s="178" t="s">
        <v>49</v>
      </c>
      <c r="M18" s="144" t="s">
        <v>50</v>
      </c>
      <c r="N18" s="145" t="str">
        <f t="shared" si="0"/>
        <v>Gastos por Caja Menor</v>
      </c>
      <c r="O18" s="146">
        <v>1</v>
      </c>
      <c r="P18" s="146">
        <v>1</v>
      </c>
      <c r="Q18" s="147">
        <v>11</v>
      </c>
      <c r="R18" s="148" t="s">
        <v>51</v>
      </c>
      <c r="S18" s="149" t="s">
        <v>66</v>
      </c>
      <c r="T18" s="150" t="s">
        <v>53</v>
      </c>
      <c r="U18" s="151">
        <f t="shared" ref="U18:U81" si="1">+I18</f>
        <v>460000000</v>
      </c>
      <c r="V18" s="152">
        <f t="shared" ref="V18:V81" si="2">+U18</f>
        <v>460000000</v>
      </c>
      <c r="W18" s="153" t="s">
        <v>54</v>
      </c>
      <c r="X18" s="153" t="s">
        <v>55</v>
      </c>
      <c r="Y18" s="154" t="s">
        <v>56</v>
      </c>
      <c r="Z18" s="155" t="s">
        <v>57</v>
      </c>
      <c r="AA18" s="156" t="s">
        <v>42</v>
      </c>
      <c r="AB18" s="157" t="s">
        <v>58</v>
      </c>
      <c r="AC18" s="158" t="s">
        <v>59</v>
      </c>
      <c r="AD18" s="153" t="s">
        <v>54</v>
      </c>
      <c r="AE18" s="153" t="s">
        <v>60</v>
      </c>
      <c r="AF18" s="159" t="s">
        <v>61</v>
      </c>
      <c r="AG18" s="159" t="s">
        <v>62</v>
      </c>
      <c r="AH18" s="159" t="s">
        <v>63</v>
      </c>
      <c r="AI18" s="159" t="s">
        <v>64</v>
      </c>
      <c r="AJ18" s="159" t="s">
        <v>64</v>
      </c>
      <c r="AK18" s="197" t="s">
        <v>64</v>
      </c>
    </row>
    <row r="19" spans="1:37" ht="84.75" customHeight="1" thickBot="1" x14ac:dyDescent="0.25">
      <c r="A19" s="1"/>
      <c r="B19" s="196" t="s">
        <v>42</v>
      </c>
      <c r="C19" s="143">
        <v>1331</v>
      </c>
      <c r="D19" s="143" t="s">
        <v>67</v>
      </c>
      <c r="E19" s="143" t="s">
        <v>44</v>
      </c>
      <c r="F19" s="175" t="s">
        <v>68</v>
      </c>
      <c r="G19" s="175" t="s">
        <v>69</v>
      </c>
      <c r="H19" s="175" t="s">
        <v>47</v>
      </c>
      <c r="I19" s="176">
        <v>2109731</v>
      </c>
      <c r="J19" s="177" t="s">
        <v>48</v>
      </c>
      <c r="K19" s="177" t="s">
        <v>48</v>
      </c>
      <c r="L19" s="178" t="s">
        <v>70</v>
      </c>
      <c r="M19" s="144" t="s">
        <v>50</v>
      </c>
      <c r="N19" s="145" t="str">
        <f t="shared" si="0"/>
        <v>Gastos por Caja Menor</v>
      </c>
      <c r="O19" s="146">
        <v>1</v>
      </c>
      <c r="P19" s="146">
        <v>1</v>
      </c>
      <c r="Q19" s="147">
        <v>11</v>
      </c>
      <c r="R19" s="148" t="s">
        <v>51</v>
      </c>
      <c r="S19" s="149" t="s">
        <v>71</v>
      </c>
      <c r="T19" s="150" t="s">
        <v>53</v>
      </c>
      <c r="U19" s="151">
        <f t="shared" si="1"/>
        <v>2109731</v>
      </c>
      <c r="V19" s="152">
        <f t="shared" si="2"/>
        <v>2109731</v>
      </c>
      <c r="W19" s="153" t="s">
        <v>54</v>
      </c>
      <c r="X19" s="153" t="s">
        <v>55</v>
      </c>
      <c r="Y19" s="154" t="s">
        <v>56</v>
      </c>
      <c r="Z19" s="155" t="s">
        <v>57</v>
      </c>
      <c r="AA19" s="156" t="s">
        <v>42</v>
      </c>
      <c r="AB19" s="157" t="s">
        <v>58</v>
      </c>
      <c r="AC19" s="158" t="s">
        <v>59</v>
      </c>
      <c r="AD19" s="153" t="s">
        <v>54</v>
      </c>
      <c r="AE19" s="153" t="s">
        <v>60</v>
      </c>
      <c r="AF19" s="159" t="s">
        <v>61</v>
      </c>
      <c r="AG19" s="159" t="s">
        <v>62</v>
      </c>
      <c r="AH19" s="159" t="s">
        <v>63</v>
      </c>
      <c r="AI19" s="159" t="s">
        <v>64</v>
      </c>
      <c r="AJ19" s="159" t="s">
        <v>64</v>
      </c>
      <c r="AK19" s="197" t="s">
        <v>64</v>
      </c>
    </row>
    <row r="20" spans="1:37" ht="84.75" customHeight="1" thickBot="1" x14ac:dyDescent="0.25">
      <c r="A20" s="1"/>
      <c r="B20" s="196" t="s">
        <v>42</v>
      </c>
      <c r="C20" s="143">
        <v>1331</v>
      </c>
      <c r="D20" s="143" t="s">
        <v>67</v>
      </c>
      <c r="E20" s="143" t="s">
        <v>44</v>
      </c>
      <c r="F20" s="175" t="s">
        <v>72</v>
      </c>
      <c r="G20" s="175" t="s">
        <v>73</v>
      </c>
      <c r="H20" s="175" t="s">
        <v>47</v>
      </c>
      <c r="I20" s="176">
        <v>8000000</v>
      </c>
      <c r="J20" s="177" t="s">
        <v>48</v>
      </c>
      <c r="K20" s="177" t="s">
        <v>48</v>
      </c>
      <c r="L20" s="178" t="s">
        <v>70</v>
      </c>
      <c r="M20" s="144" t="s">
        <v>50</v>
      </c>
      <c r="N20" s="145" t="str">
        <f t="shared" si="0"/>
        <v>Gastos por Caja Menor</v>
      </c>
      <c r="O20" s="146">
        <v>1</v>
      </c>
      <c r="P20" s="146">
        <v>1</v>
      </c>
      <c r="Q20" s="147">
        <v>11</v>
      </c>
      <c r="R20" s="148" t="s">
        <v>51</v>
      </c>
      <c r="S20" s="149" t="s">
        <v>74</v>
      </c>
      <c r="T20" s="150" t="s">
        <v>53</v>
      </c>
      <c r="U20" s="151">
        <f t="shared" si="1"/>
        <v>8000000</v>
      </c>
      <c r="V20" s="152">
        <f t="shared" si="2"/>
        <v>8000000</v>
      </c>
      <c r="W20" s="153" t="s">
        <v>54</v>
      </c>
      <c r="X20" s="153" t="s">
        <v>55</v>
      </c>
      <c r="Y20" s="154" t="s">
        <v>56</v>
      </c>
      <c r="Z20" s="155" t="s">
        <v>57</v>
      </c>
      <c r="AA20" s="156" t="s">
        <v>42</v>
      </c>
      <c r="AB20" s="157" t="s">
        <v>58</v>
      </c>
      <c r="AC20" s="158" t="s">
        <v>59</v>
      </c>
      <c r="AD20" s="153" t="s">
        <v>54</v>
      </c>
      <c r="AE20" s="153" t="s">
        <v>60</v>
      </c>
      <c r="AF20" s="159" t="s">
        <v>61</v>
      </c>
      <c r="AG20" s="159" t="s">
        <v>62</v>
      </c>
      <c r="AH20" s="159" t="s">
        <v>63</v>
      </c>
      <c r="AI20" s="159" t="s">
        <v>64</v>
      </c>
      <c r="AJ20" s="159" t="s">
        <v>64</v>
      </c>
      <c r="AK20" s="197" t="s">
        <v>64</v>
      </c>
    </row>
    <row r="21" spans="1:37" ht="84.75" customHeight="1" thickBot="1" x14ac:dyDescent="0.25">
      <c r="A21" s="1"/>
      <c r="B21" s="196" t="s">
        <v>42</v>
      </c>
      <c r="C21" s="143">
        <v>1331</v>
      </c>
      <c r="D21" s="143" t="s">
        <v>67</v>
      </c>
      <c r="E21" s="143" t="s">
        <v>44</v>
      </c>
      <c r="F21" s="175" t="s">
        <v>75</v>
      </c>
      <c r="G21" s="175" t="s">
        <v>76</v>
      </c>
      <c r="H21" s="175" t="s">
        <v>47</v>
      </c>
      <c r="I21" s="176">
        <v>5000000</v>
      </c>
      <c r="J21" s="177" t="s">
        <v>48</v>
      </c>
      <c r="K21" s="177" t="s">
        <v>48</v>
      </c>
      <c r="L21" s="178" t="s">
        <v>70</v>
      </c>
      <c r="M21" s="144" t="s">
        <v>50</v>
      </c>
      <c r="N21" s="145" t="str">
        <f t="shared" si="0"/>
        <v>Gastos por Caja Menor</v>
      </c>
      <c r="O21" s="146">
        <v>1</v>
      </c>
      <c r="P21" s="146">
        <v>1</v>
      </c>
      <c r="Q21" s="147">
        <v>11</v>
      </c>
      <c r="R21" s="148" t="s">
        <v>51</v>
      </c>
      <c r="S21" s="149" t="s">
        <v>77</v>
      </c>
      <c r="T21" s="150" t="s">
        <v>53</v>
      </c>
      <c r="U21" s="151">
        <f t="shared" si="1"/>
        <v>5000000</v>
      </c>
      <c r="V21" s="152">
        <f t="shared" si="2"/>
        <v>5000000</v>
      </c>
      <c r="W21" s="153" t="s">
        <v>54</v>
      </c>
      <c r="X21" s="153" t="s">
        <v>55</v>
      </c>
      <c r="Y21" s="154" t="s">
        <v>56</v>
      </c>
      <c r="Z21" s="155" t="s">
        <v>57</v>
      </c>
      <c r="AA21" s="156" t="s">
        <v>42</v>
      </c>
      <c r="AB21" s="157" t="s">
        <v>58</v>
      </c>
      <c r="AC21" s="158" t="s">
        <v>59</v>
      </c>
      <c r="AD21" s="153" t="s">
        <v>54</v>
      </c>
      <c r="AE21" s="153" t="s">
        <v>60</v>
      </c>
      <c r="AF21" s="159" t="s">
        <v>61</v>
      </c>
      <c r="AG21" s="159" t="s">
        <v>62</v>
      </c>
      <c r="AH21" s="159" t="s">
        <v>63</v>
      </c>
      <c r="AI21" s="159" t="s">
        <v>64</v>
      </c>
      <c r="AJ21" s="159" t="s">
        <v>64</v>
      </c>
      <c r="AK21" s="197" t="s">
        <v>64</v>
      </c>
    </row>
    <row r="22" spans="1:37" ht="84.75" customHeight="1" thickBot="1" x14ac:dyDescent="0.25">
      <c r="A22" s="1"/>
      <c r="B22" s="196" t="s">
        <v>42</v>
      </c>
      <c r="C22" s="143">
        <v>1331</v>
      </c>
      <c r="D22" s="143" t="s">
        <v>67</v>
      </c>
      <c r="E22" s="143" t="s">
        <v>44</v>
      </c>
      <c r="F22" s="175" t="s">
        <v>78</v>
      </c>
      <c r="G22" s="175" t="s">
        <v>79</v>
      </c>
      <c r="H22" s="175" t="s">
        <v>47</v>
      </c>
      <c r="I22" s="176">
        <v>15000000</v>
      </c>
      <c r="J22" s="177" t="s">
        <v>48</v>
      </c>
      <c r="K22" s="177" t="s">
        <v>48</v>
      </c>
      <c r="L22" s="178" t="s">
        <v>70</v>
      </c>
      <c r="M22" s="144" t="s">
        <v>50</v>
      </c>
      <c r="N22" s="145" t="str">
        <f t="shared" si="0"/>
        <v>Gastos por Caja Menor</v>
      </c>
      <c r="O22" s="146">
        <v>1</v>
      </c>
      <c r="P22" s="146">
        <v>1</v>
      </c>
      <c r="Q22" s="147">
        <v>11</v>
      </c>
      <c r="R22" s="148" t="s">
        <v>51</v>
      </c>
      <c r="S22" s="149" t="s">
        <v>80</v>
      </c>
      <c r="T22" s="150" t="s">
        <v>53</v>
      </c>
      <c r="U22" s="151">
        <f t="shared" si="1"/>
        <v>15000000</v>
      </c>
      <c r="V22" s="152">
        <f t="shared" si="2"/>
        <v>15000000</v>
      </c>
      <c r="W22" s="153" t="s">
        <v>54</v>
      </c>
      <c r="X22" s="153" t="s">
        <v>55</v>
      </c>
      <c r="Y22" s="154" t="s">
        <v>56</v>
      </c>
      <c r="Z22" s="155" t="s">
        <v>57</v>
      </c>
      <c r="AA22" s="156" t="s">
        <v>42</v>
      </c>
      <c r="AB22" s="157" t="s">
        <v>58</v>
      </c>
      <c r="AC22" s="158" t="s">
        <v>59</v>
      </c>
      <c r="AD22" s="153" t="s">
        <v>54</v>
      </c>
      <c r="AE22" s="153" t="s">
        <v>60</v>
      </c>
      <c r="AF22" s="159" t="s">
        <v>61</v>
      </c>
      <c r="AG22" s="159" t="s">
        <v>62</v>
      </c>
      <c r="AH22" s="159" t="s">
        <v>63</v>
      </c>
      <c r="AI22" s="159" t="s">
        <v>64</v>
      </c>
      <c r="AJ22" s="159" t="s">
        <v>64</v>
      </c>
      <c r="AK22" s="197" t="s">
        <v>64</v>
      </c>
    </row>
    <row r="23" spans="1:37" ht="84.75" customHeight="1" thickBot="1" x14ac:dyDescent="0.25">
      <c r="A23" s="1"/>
      <c r="B23" s="196" t="s">
        <v>42</v>
      </c>
      <c r="C23" s="143">
        <v>1331</v>
      </c>
      <c r="D23" s="143" t="s">
        <v>67</v>
      </c>
      <c r="E23" s="143" t="s">
        <v>44</v>
      </c>
      <c r="F23" s="175" t="s">
        <v>81</v>
      </c>
      <c r="G23" s="175" t="s">
        <v>82</v>
      </c>
      <c r="H23" s="175" t="s">
        <v>47</v>
      </c>
      <c r="I23" s="176">
        <v>5000000</v>
      </c>
      <c r="J23" s="177" t="s">
        <v>48</v>
      </c>
      <c r="K23" s="177" t="s">
        <v>48</v>
      </c>
      <c r="L23" s="178" t="s">
        <v>70</v>
      </c>
      <c r="M23" s="144" t="s">
        <v>50</v>
      </c>
      <c r="N23" s="145" t="str">
        <f t="shared" si="0"/>
        <v>Gastos por Caja Menor</v>
      </c>
      <c r="O23" s="146">
        <v>1</v>
      </c>
      <c r="P23" s="146">
        <v>1</v>
      </c>
      <c r="Q23" s="147">
        <v>11</v>
      </c>
      <c r="R23" s="148" t="s">
        <v>51</v>
      </c>
      <c r="S23" s="149" t="s">
        <v>83</v>
      </c>
      <c r="T23" s="150" t="s">
        <v>53</v>
      </c>
      <c r="U23" s="151">
        <f t="shared" si="1"/>
        <v>5000000</v>
      </c>
      <c r="V23" s="152">
        <f t="shared" si="2"/>
        <v>5000000</v>
      </c>
      <c r="W23" s="153" t="s">
        <v>54</v>
      </c>
      <c r="X23" s="153" t="s">
        <v>55</v>
      </c>
      <c r="Y23" s="154" t="s">
        <v>56</v>
      </c>
      <c r="Z23" s="155" t="s">
        <v>57</v>
      </c>
      <c r="AA23" s="156" t="s">
        <v>42</v>
      </c>
      <c r="AB23" s="157" t="s">
        <v>58</v>
      </c>
      <c r="AC23" s="158" t="s">
        <v>59</v>
      </c>
      <c r="AD23" s="153" t="s">
        <v>54</v>
      </c>
      <c r="AE23" s="153" t="s">
        <v>60</v>
      </c>
      <c r="AF23" s="159" t="s">
        <v>61</v>
      </c>
      <c r="AG23" s="159" t="s">
        <v>62</v>
      </c>
      <c r="AH23" s="159" t="s">
        <v>63</v>
      </c>
      <c r="AI23" s="159" t="s">
        <v>64</v>
      </c>
      <c r="AJ23" s="159" t="s">
        <v>64</v>
      </c>
      <c r="AK23" s="197" t="s">
        <v>64</v>
      </c>
    </row>
    <row r="24" spans="1:37" ht="84.75" customHeight="1" thickBot="1" x14ac:dyDescent="0.25">
      <c r="A24" s="1"/>
      <c r="B24" s="196" t="s">
        <v>42</v>
      </c>
      <c r="C24" s="143">
        <v>1331</v>
      </c>
      <c r="D24" s="143" t="s">
        <v>67</v>
      </c>
      <c r="E24" s="143" t="s">
        <v>44</v>
      </c>
      <c r="F24" s="175" t="s">
        <v>84</v>
      </c>
      <c r="G24" s="175" t="s">
        <v>85</v>
      </c>
      <c r="H24" s="175" t="s">
        <v>47</v>
      </c>
      <c r="I24" s="176">
        <f>6000000+2500000</f>
        <v>8500000</v>
      </c>
      <c r="J24" s="177" t="s">
        <v>48</v>
      </c>
      <c r="K24" s="177" t="s">
        <v>48</v>
      </c>
      <c r="L24" s="178" t="s">
        <v>70</v>
      </c>
      <c r="M24" s="144" t="s">
        <v>50</v>
      </c>
      <c r="N24" s="145" t="str">
        <f t="shared" si="0"/>
        <v>Gastos por Caja Menor</v>
      </c>
      <c r="O24" s="146">
        <v>1</v>
      </c>
      <c r="P24" s="146">
        <v>1</v>
      </c>
      <c r="Q24" s="147">
        <v>11</v>
      </c>
      <c r="R24" s="148" t="s">
        <v>51</v>
      </c>
      <c r="S24" s="149" t="s">
        <v>86</v>
      </c>
      <c r="T24" s="150" t="s">
        <v>53</v>
      </c>
      <c r="U24" s="151">
        <f t="shared" si="1"/>
        <v>8500000</v>
      </c>
      <c r="V24" s="152">
        <f t="shared" si="2"/>
        <v>8500000</v>
      </c>
      <c r="W24" s="153" t="s">
        <v>54</v>
      </c>
      <c r="X24" s="153" t="s">
        <v>55</v>
      </c>
      <c r="Y24" s="154" t="s">
        <v>56</v>
      </c>
      <c r="Z24" s="155" t="s">
        <v>57</v>
      </c>
      <c r="AA24" s="156" t="s">
        <v>42</v>
      </c>
      <c r="AB24" s="157" t="s">
        <v>58</v>
      </c>
      <c r="AC24" s="158" t="s">
        <v>59</v>
      </c>
      <c r="AD24" s="153" t="s">
        <v>54</v>
      </c>
      <c r="AE24" s="153" t="s">
        <v>60</v>
      </c>
      <c r="AF24" s="159" t="s">
        <v>61</v>
      </c>
      <c r="AG24" s="159" t="s">
        <v>62</v>
      </c>
      <c r="AH24" s="159" t="s">
        <v>63</v>
      </c>
      <c r="AI24" s="159" t="s">
        <v>64</v>
      </c>
      <c r="AJ24" s="159" t="s">
        <v>64</v>
      </c>
      <c r="AK24" s="197" t="s">
        <v>64</v>
      </c>
    </row>
    <row r="25" spans="1:37" ht="84.75" customHeight="1" thickBot="1" x14ac:dyDescent="0.25">
      <c r="A25" s="1"/>
      <c r="B25" s="196" t="s">
        <v>42</v>
      </c>
      <c r="C25" s="143">
        <v>1331</v>
      </c>
      <c r="D25" s="143" t="s">
        <v>67</v>
      </c>
      <c r="E25" s="143" t="s">
        <v>44</v>
      </c>
      <c r="F25" s="175" t="s">
        <v>87</v>
      </c>
      <c r="G25" s="175" t="s">
        <v>88</v>
      </c>
      <c r="H25" s="175" t="s">
        <v>47</v>
      </c>
      <c r="I25" s="176">
        <v>4000000</v>
      </c>
      <c r="J25" s="177" t="s">
        <v>48</v>
      </c>
      <c r="K25" s="177" t="s">
        <v>48</v>
      </c>
      <c r="L25" s="178" t="s">
        <v>70</v>
      </c>
      <c r="M25" s="144" t="s">
        <v>50</v>
      </c>
      <c r="N25" s="145" t="str">
        <f t="shared" si="0"/>
        <v>Gastos por Caja Menor</v>
      </c>
      <c r="O25" s="146">
        <v>1</v>
      </c>
      <c r="P25" s="146">
        <v>1</v>
      </c>
      <c r="Q25" s="147">
        <v>11</v>
      </c>
      <c r="R25" s="148" t="s">
        <v>51</v>
      </c>
      <c r="S25" s="149" t="s">
        <v>89</v>
      </c>
      <c r="T25" s="150" t="s">
        <v>53</v>
      </c>
      <c r="U25" s="151">
        <f t="shared" si="1"/>
        <v>4000000</v>
      </c>
      <c r="V25" s="152">
        <f t="shared" si="2"/>
        <v>4000000</v>
      </c>
      <c r="W25" s="153" t="s">
        <v>54</v>
      </c>
      <c r="X25" s="153" t="s">
        <v>55</v>
      </c>
      <c r="Y25" s="154" t="s">
        <v>56</v>
      </c>
      <c r="Z25" s="155" t="s">
        <v>57</v>
      </c>
      <c r="AA25" s="156" t="s">
        <v>42</v>
      </c>
      <c r="AB25" s="157" t="s">
        <v>58</v>
      </c>
      <c r="AC25" s="158" t="s">
        <v>59</v>
      </c>
      <c r="AD25" s="153" t="s">
        <v>54</v>
      </c>
      <c r="AE25" s="153" t="s">
        <v>60</v>
      </c>
      <c r="AF25" s="159" t="s">
        <v>61</v>
      </c>
      <c r="AG25" s="159" t="s">
        <v>62</v>
      </c>
      <c r="AH25" s="159" t="s">
        <v>63</v>
      </c>
      <c r="AI25" s="159" t="s">
        <v>64</v>
      </c>
      <c r="AJ25" s="159" t="s">
        <v>64</v>
      </c>
      <c r="AK25" s="197" t="s">
        <v>64</v>
      </c>
    </row>
    <row r="26" spans="1:37" ht="84.75" customHeight="1" thickBot="1" x14ac:dyDescent="0.25">
      <c r="A26" s="1"/>
      <c r="B26" s="196" t="s">
        <v>42</v>
      </c>
      <c r="C26" s="143">
        <v>1331</v>
      </c>
      <c r="D26" s="143" t="s">
        <v>67</v>
      </c>
      <c r="E26" s="143" t="s">
        <v>44</v>
      </c>
      <c r="F26" s="175" t="s">
        <v>90</v>
      </c>
      <c r="G26" s="175" t="s">
        <v>91</v>
      </c>
      <c r="H26" s="175" t="s">
        <v>47</v>
      </c>
      <c r="I26" s="176">
        <v>5000000</v>
      </c>
      <c r="J26" s="177" t="s">
        <v>48</v>
      </c>
      <c r="K26" s="177" t="s">
        <v>48</v>
      </c>
      <c r="L26" s="178" t="s">
        <v>70</v>
      </c>
      <c r="M26" s="144" t="s">
        <v>50</v>
      </c>
      <c r="N26" s="145" t="str">
        <f t="shared" si="0"/>
        <v>Gastos por Caja Menor</v>
      </c>
      <c r="O26" s="146">
        <v>1</v>
      </c>
      <c r="P26" s="146">
        <v>1</v>
      </c>
      <c r="Q26" s="147">
        <v>11</v>
      </c>
      <c r="R26" s="148" t="s">
        <v>51</v>
      </c>
      <c r="S26" s="149" t="s">
        <v>92</v>
      </c>
      <c r="T26" s="150" t="s">
        <v>53</v>
      </c>
      <c r="U26" s="151">
        <f t="shared" si="1"/>
        <v>5000000</v>
      </c>
      <c r="V26" s="152">
        <f t="shared" si="2"/>
        <v>5000000</v>
      </c>
      <c r="W26" s="153" t="s">
        <v>54</v>
      </c>
      <c r="X26" s="153" t="s">
        <v>55</v>
      </c>
      <c r="Y26" s="154" t="s">
        <v>56</v>
      </c>
      <c r="Z26" s="155" t="s">
        <v>57</v>
      </c>
      <c r="AA26" s="156" t="s">
        <v>42</v>
      </c>
      <c r="AB26" s="157" t="s">
        <v>58</v>
      </c>
      <c r="AC26" s="158" t="s">
        <v>59</v>
      </c>
      <c r="AD26" s="153" t="s">
        <v>54</v>
      </c>
      <c r="AE26" s="153" t="s">
        <v>60</v>
      </c>
      <c r="AF26" s="159" t="s">
        <v>61</v>
      </c>
      <c r="AG26" s="159" t="s">
        <v>62</v>
      </c>
      <c r="AH26" s="159" t="s">
        <v>63</v>
      </c>
      <c r="AI26" s="159" t="s">
        <v>64</v>
      </c>
      <c r="AJ26" s="159" t="s">
        <v>64</v>
      </c>
      <c r="AK26" s="197" t="s">
        <v>64</v>
      </c>
    </row>
    <row r="27" spans="1:37" ht="84.75" customHeight="1" thickBot="1" x14ac:dyDescent="0.25">
      <c r="A27" s="1"/>
      <c r="B27" s="196" t="s">
        <v>42</v>
      </c>
      <c r="C27" s="143">
        <v>1331</v>
      </c>
      <c r="D27" s="143" t="s">
        <v>67</v>
      </c>
      <c r="E27" s="143" t="s">
        <v>44</v>
      </c>
      <c r="F27" s="175" t="s">
        <v>93</v>
      </c>
      <c r="G27" s="175" t="s">
        <v>94</v>
      </c>
      <c r="H27" s="175" t="s">
        <v>47</v>
      </c>
      <c r="I27" s="176">
        <v>5000000</v>
      </c>
      <c r="J27" s="177" t="s">
        <v>48</v>
      </c>
      <c r="K27" s="177" t="s">
        <v>48</v>
      </c>
      <c r="L27" s="178" t="s">
        <v>70</v>
      </c>
      <c r="M27" s="144" t="s">
        <v>50</v>
      </c>
      <c r="N27" s="145" t="str">
        <f t="shared" si="0"/>
        <v>Gastos por Caja Menor</v>
      </c>
      <c r="O27" s="146">
        <v>1</v>
      </c>
      <c r="P27" s="146">
        <v>1</v>
      </c>
      <c r="Q27" s="147">
        <v>11</v>
      </c>
      <c r="R27" s="148" t="s">
        <v>51</v>
      </c>
      <c r="S27" s="149" t="s">
        <v>95</v>
      </c>
      <c r="T27" s="150" t="s">
        <v>53</v>
      </c>
      <c r="U27" s="151">
        <f t="shared" si="1"/>
        <v>5000000</v>
      </c>
      <c r="V27" s="152">
        <f t="shared" si="2"/>
        <v>5000000</v>
      </c>
      <c r="W27" s="153" t="s">
        <v>54</v>
      </c>
      <c r="X27" s="153" t="s">
        <v>55</v>
      </c>
      <c r="Y27" s="154" t="s">
        <v>56</v>
      </c>
      <c r="Z27" s="155" t="s">
        <v>57</v>
      </c>
      <c r="AA27" s="156" t="s">
        <v>42</v>
      </c>
      <c r="AB27" s="157" t="s">
        <v>58</v>
      </c>
      <c r="AC27" s="158" t="s">
        <v>59</v>
      </c>
      <c r="AD27" s="153" t="s">
        <v>54</v>
      </c>
      <c r="AE27" s="153" t="s">
        <v>60</v>
      </c>
      <c r="AF27" s="159" t="s">
        <v>61</v>
      </c>
      <c r="AG27" s="159" t="s">
        <v>62</v>
      </c>
      <c r="AH27" s="159" t="s">
        <v>63</v>
      </c>
      <c r="AI27" s="159" t="s">
        <v>64</v>
      </c>
      <c r="AJ27" s="159" t="s">
        <v>64</v>
      </c>
      <c r="AK27" s="197" t="s">
        <v>64</v>
      </c>
    </row>
    <row r="28" spans="1:37" ht="84.75" customHeight="1" thickBot="1" x14ac:dyDescent="0.25">
      <c r="A28" s="1"/>
      <c r="B28" s="196" t="s">
        <v>42</v>
      </c>
      <c r="C28" s="143">
        <v>1331</v>
      </c>
      <c r="D28" s="143" t="s">
        <v>67</v>
      </c>
      <c r="E28" s="143" t="s">
        <v>44</v>
      </c>
      <c r="F28" s="175" t="s">
        <v>96</v>
      </c>
      <c r="G28" s="175" t="s">
        <v>97</v>
      </c>
      <c r="H28" s="175" t="s">
        <v>47</v>
      </c>
      <c r="I28" s="176">
        <v>2000000</v>
      </c>
      <c r="J28" s="177" t="s">
        <v>48</v>
      </c>
      <c r="K28" s="177" t="s">
        <v>48</v>
      </c>
      <c r="L28" s="178" t="s">
        <v>70</v>
      </c>
      <c r="M28" s="144" t="s">
        <v>50</v>
      </c>
      <c r="N28" s="145" t="str">
        <f t="shared" si="0"/>
        <v>Gastos por Caja Menor</v>
      </c>
      <c r="O28" s="146">
        <v>1</v>
      </c>
      <c r="P28" s="146">
        <v>1</v>
      </c>
      <c r="Q28" s="147">
        <v>11</v>
      </c>
      <c r="R28" s="148" t="s">
        <v>51</v>
      </c>
      <c r="S28" s="149" t="s">
        <v>98</v>
      </c>
      <c r="T28" s="150" t="s">
        <v>53</v>
      </c>
      <c r="U28" s="151">
        <f t="shared" si="1"/>
        <v>2000000</v>
      </c>
      <c r="V28" s="152">
        <f t="shared" si="2"/>
        <v>2000000</v>
      </c>
      <c r="W28" s="153" t="s">
        <v>54</v>
      </c>
      <c r="X28" s="153" t="s">
        <v>55</v>
      </c>
      <c r="Y28" s="154" t="s">
        <v>56</v>
      </c>
      <c r="Z28" s="155" t="s">
        <v>57</v>
      </c>
      <c r="AA28" s="156" t="s">
        <v>42</v>
      </c>
      <c r="AB28" s="157" t="s">
        <v>58</v>
      </c>
      <c r="AC28" s="158" t="s">
        <v>59</v>
      </c>
      <c r="AD28" s="153" t="s">
        <v>54</v>
      </c>
      <c r="AE28" s="153" t="s">
        <v>60</v>
      </c>
      <c r="AF28" s="159" t="s">
        <v>61</v>
      </c>
      <c r="AG28" s="159" t="s">
        <v>62</v>
      </c>
      <c r="AH28" s="159" t="s">
        <v>63</v>
      </c>
      <c r="AI28" s="159" t="s">
        <v>64</v>
      </c>
      <c r="AJ28" s="159" t="s">
        <v>64</v>
      </c>
      <c r="AK28" s="197" t="s">
        <v>64</v>
      </c>
    </row>
    <row r="29" spans="1:37" ht="84.75" customHeight="1" thickBot="1" x14ac:dyDescent="0.25">
      <c r="A29" s="1"/>
      <c r="B29" s="196" t="s">
        <v>42</v>
      </c>
      <c r="C29" s="143">
        <v>1331</v>
      </c>
      <c r="D29" s="143" t="s">
        <v>67</v>
      </c>
      <c r="E29" s="143" t="s">
        <v>44</v>
      </c>
      <c r="F29" s="175" t="s">
        <v>99</v>
      </c>
      <c r="G29" s="175" t="s">
        <v>100</v>
      </c>
      <c r="H29" s="175" t="s">
        <v>47</v>
      </c>
      <c r="I29" s="176">
        <f>4000000+2000000</f>
        <v>6000000</v>
      </c>
      <c r="J29" s="177" t="s">
        <v>48</v>
      </c>
      <c r="K29" s="177" t="s">
        <v>48</v>
      </c>
      <c r="L29" s="178" t="s">
        <v>70</v>
      </c>
      <c r="M29" s="144" t="s">
        <v>50</v>
      </c>
      <c r="N29" s="145" t="str">
        <f t="shared" si="0"/>
        <v>Gastos por Caja Menor</v>
      </c>
      <c r="O29" s="146">
        <v>1</v>
      </c>
      <c r="P29" s="146">
        <v>1</v>
      </c>
      <c r="Q29" s="147">
        <v>11</v>
      </c>
      <c r="R29" s="148" t="s">
        <v>51</v>
      </c>
      <c r="S29" s="149" t="s">
        <v>101</v>
      </c>
      <c r="T29" s="150" t="s">
        <v>53</v>
      </c>
      <c r="U29" s="151">
        <f t="shared" si="1"/>
        <v>6000000</v>
      </c>
      <c r="V29" s="152">
        <f t="shared" si="2"/>
        <v>6000000</v>
      </c>
      <c r="W29" s="153" t="s">
        <v>54</v>
      </c>
      <c r="X29" s="153" t="s">
        <v>55</v>
      </c>
      <c r="Y29" s="154" t="s">
        <v>56</v>
      </c>
      <c r="Z29" s="155" t="s">
        <v>57</v>
      </c>
      <c r="AA29" s="156" t="s">
        <v>42</v>
      </c>
      <c r="AB29" s="157" t="s">
        <v>58</v>
      </c>
      <c r="AC29" s="158" t="s">
        <v>59</v>
      </c>
      <c r="AD29" s="153" t="s">
        <v>54</v>
      </c>
      <c r="AE29" s="153" t="s">
        <v>60</v>
      </c>
      <c r="AF29" s="159" t="s">
        <v>61</v>
      </c>
      <c r="AG29" s="159" t="s">
        <v>62</v>
      </c>
      <c r="AH29" s="159" t="s">
        <v>63</v>
      </c>
      <c r="AI29" s="159" t="s">
        <v>64</v>
      </c>
      <c r="AJ29" s="159" t="s">
        <v>64</v>
      </c>
      <c r="AK29" s="197" t="s">
        <v>64</v>
      </c>
    </row>
    <row r="30" spans="1:37" ht="84.75" customHeight="1" thickBot="1" x14ac:dyDescent="0.25">
      <c r="A30" s="1"/>
      <c r="B30" s="196" t="s">
        <v>42</v>
      </c>
      <c r="C30" s="143">
        <v>1331</v>
      </c>
      <c r="D30" s="143" t="s">
        <v>67</v>
      </c>
      <c r="E30" s="143" t="s">
        <v>44</v>
      </c>
      <c r="F30" s="175" t="s">
        <v>102</v>
      </c>
      <c r="G30" s="175" t="s">
        <v>103</v>
      </c>
      <c r="H30" s="175" t="s">
        <v>47</v>
      </c>
      <c r="I30" s="176">
        <f>2000000+1500000</f>
        <v>3500000</v>
      </c>
      <c r="J30" s="177" t="s">
        <v>48</v>
      </c>
      <c r="K30" s="177" t="s">
        <v>48</v>
      </c>
      <c r="L30" s="178" t="s">
        <v>70</v>
      </c>
      <c r="M30" s="144" t="s">
        <v>50</v>
      </c>
      <c r="N30" s="145" t="str">
        <f t="shared" si="0"/>
        <v>Gastos por Caja Menor</v>
      </c>
      <c r="O30" s="146">
        <v>1</v>
      </c>
      <c r="P30" s="146">
        <v>1</v>
      </c>
      <c r="Q30" s="147">
        <v>11</v>
      </c>
      <c r="R30" s="148" t="s">
        <v>51</v>
      </c>
      <c r="S30" s="149" t="s">
        <v>104</v>
      </c>
      <c r="T30" s="150" t="s">
        <v>53</v>
      </c>
      <c r="U30" s="151">
        <f t="shared" si="1"/>
        <v>3500000</v>
      </c>
      <c r="V30" s="152">
        <f t="shared" si="2"/>
        <v>3500000</v>
      </c>
      <c r="W30" s="153" t="s">
        <v>54</v>
      </c>
      <c r="X30" s="153" t="s">
        <v>55</v>
      </c>
      <c r="Y30" s="154" t="s">
        <v>56</v>
      </c>
      <c r="Z30" s="155" t="s">
        <v>57</v>
      </c>
      <c r="AA30" s="156" t="s">
        <v>42</v>
      </c>
      <c r="AB30" s="157" t="s">
        <v>58</v>
      </c>
      <c r="AC30" s="158" t="s">
        <v>59</v>
      </c>
      <c r="AD30" s="153" t="s">
        <v>54</v>
      </c>
      <c r="AE30" s="153" t="s">
        <v>60</v>
      </c>
      <c r="AF30" s="159" t="s">
        <v>61</v>
      </c>
      <c r="AG30" s="159" t="s">
        <v>62</v>
      </c>
      <c r="AH30" s="159" t="s">
        <v>63</v>
      </c>
      <c r="AI30" s="159" t="s">
        <v>64</v>
      </c>
      <c r="AJ30" s="159" t="s">
        <v>64</v>
      </c>
      <c r="AK30" s="197" t="s">
        <v>64</v>
      </c>
    </row>
    <row r="31" spans="1:37" ht="84.75" customHeight="1" thickBot="1" x14ac:dyDescent="0.25">
      <c r="A31" s="1"/>
      <c r="B31" s="196" t="s">
        <v>42</v>
      </c>
      <c r="C31" s="143">
        <v>1331</v>
      </c>
      <c r="D31" s="143" t="s">
        <v>67</v>
      </c>
      <c r="E31" s="143" t="s">
        <v>44</v>
      </c>
      <c r="F31" s="175" t="s">
        <v>105</v>
      </c>
      <c r="G31" s="175" t="s">
        <v>106</v>
      </c>
      <c r="H31" s="175" t="s">
        <v>47</v>
      </c>
      <c r="I31" s="176">
        <v>3000000</v>
      </c>
      <c r="J31" s="177" t="s">
        <v>48</v>
      </c>
      <c r="K31" s="177" t="s">
        <v>48</v>
      </c>
      <c r="L31" s="178" t="s">
        <v>70</v>
      </c>
      <c r="M31" s="144" t="s">
        <v>50</v>
      </c>
      <c r="N31" s="145" t="str">
        <f t="shared" si="0"/>
        <v>Gastos por Caja Menor</v>
      </c>
      <c r="O31" s="146">
        <v>1</v>
      </c>
      <c r="P31" s="146">
        <v>1</v>
      </c>
      <c r="Q31" s="147">
        <v>11</v>
      </c>
      <c r="R31" s="148" t="s">
        <v>51</v>
      </c>
      <c r="S31" s="149" t="s">
        <v>107</v>
      </c>
      <c r="T31" s="150" t="s">
        <v>53</v>
      </c>
      <c r="U31" s="151">
        <f t="shared" si="1"/>
        <v>3000000</v>
      </c>
      <c r="V31" s="152">
        <f t="shared" si="2"/>
        <v>3000000</v>
      </c>
      <c r="W31" s="153" t="s">
        <v>54</v>
      </c>
      <c r="X31" s="153" t="s">
        <v>55</v>
      </c>
      <c r="Y31" s="154" t="s">
        <v>56</v>
      </c>
      <c r="Z31" s="155" t="s">
        <v>57</v>
      </c>
      <c r="AA31" s="156" t="s">
        <v>42</v>
      </c>
      <c r="AB31" s="157" t="s">
        <v>58</v>
      </c>
      <c r="AC31" s="158" t="s">
        <v>59</v>
      </c>
      <c r="AD31" s="153" t="s">
        <v>54</v>
      </c>
      <c r="AE31" s="153" t="s">
        <v>60</v>
      </c>
      <c r="AF31" s="159" t="s">
        <v>61</v>
      </c>
      <c r="AG31" s="159" t="s">
        <v>62</v>
      </c>
      <c r="AH31" s="159" t="s">
        <v>63</v>
      </c>
      <c r="AI31" s="159" t="s">
        <v>64</v>
      </c>
      <c r="AJ31" s="159" t="s">
        <v>64</v>
      </c>
      <c r="AK31" s="197" t="s">
        <v>64</v>
      </c>
    </row>
    <row r="32" spans="1:37" ht="84.75" customHeight="1" thickBot="1" x14ac:dyDescent="0.25">
      <c r="A32" s="1"/>
      <c r="B32" s="196" t="s">
        <v>42</v>
      </c>
      <c r="C32" s="143">
        <v>1331</v>
      </c>
      <c r="D32" s="143" t="s">
        <v>67</v>
      </c>
      <c r="E32" s="143" t="s">
        <v>44</v>
      </c>
      <c r="F32" s="175" t="s">
        <v>108</v>
      </c>
      <c r="G32" s="175" t="s">
        <v>109</v>
      </c>
      <c r="H32" s="175" t="s">
        <v>47</v>
      </c>
      <c r="I32" s="176">
        <f>20000000-9000000</f>
        <v>11000000</v>
      </c>
      <c r="J32" s="177" t="s">
        <v>48</v>
      </c>
      <c r="K32" s="177" t="s">
        <v>48</v>
      </c>
      <c r="L32" s="178" t="s">
        <v>70</v>
      </c>
      <c r="M32" s="144" t="s">
        <v>50</v>
      </c>
      <c r="N32" s="145" t="str">
        <f t="shared" si="0"/>
        <v>Gastos por Caja Menor</v>
      </c>
      <c r="O32" s="146">
        <v>1</v>
      </c>
      <c r="P32" s="146">
        <v>1</v>
      </c>
      <c r="Q32" s="147">
        <v>11</v>
      </c>
      <c r="R32" s="148" t="s">
        <v>51</v>
      </c>
      <c r="S32" s="149" t="s">
        <v>110</v>
      </c>
      <c r="T32" s="150" t="s">
        <v>53</v>
      </c>
      <c r="U32" s="151">
        <f t="shared" si="1"/>
        <v>11000000</v>
      </c>
      <c r="V32" s="152">
        <f t="shared" si="2"/>
        <v>11000000</v>
      </c>
      <c r="W32" s="153" t="s">
        <v>54</v>
      </c>
      <c r="X32" s="153" t="s">
        <v>55</v>
      </c>
      <c r="Y32" s="154" t="s">
        <v>56</v>
      </c>
      <c r="Z32" s="155" t="s">
        <v>57</v>
      </c>
      <c r="AA32" s="156" t="s">
        <v>42</v>
      </c>
      <c r="AB32" s="157" t="s">
        <v>58</v>
      </c>
      <c r="AC32" s="158" t="s">
        <v>59</v>
      </c>
      <c r="AD32" s="153" t="s">
        <v>54</v>
      </c>
      <c r="AE32" s="153" t="s">
        <v>60</v>
      </c>
      <c r="AF32" s="159" t="s">
        <v>61</v>
      </c>
      <c r="AG32" s="159" t="s">
        <v>62</v>
      </c>
      <c r="AH32" s="159" t="s">
        <v>63</v>
      </c>
      <c r="AI32" s="159" t="s">
        <v>64</v>
      </c>
      <c r="AJ32" s="159" t="s">
        <v>64</v>
      </c>
      <c r="AK32" s="197" t="s">
        <v>64</v>
      </c>
    </row>
    <row r="33" spans="1:37" ht="84.75" customHeight="1" thickBot="1" x14ac:dyDescent="0.25">
      <c r="A33" s="1"/>
      <c r="B33" s="196" t="s">
        <v>42</v>
      </c>
      <c r="C33" s="143">
        <v>1331</v>
      </c>
      <c r="D33" s="143" t="s">
        <v>67</v>
      </c>
      <c r="E33" s="143" t="s">
        <v>44</v>
      </c>
      <c r="F33" s="175" t="s">
        <v>111</v>
      </c>
      <c r="G33" s="175" t="s">
        <v>112</v>
      </c>
      <c r="H33" s="175" t="s">
        <v>47</v>
      </c>
      <c r="I33" s="176">
        <f>129500000+500000-3000000</f>
        <v>127000000</v>
      </c>
      <c r="J33" s="177" t="s">
        <v>48</v>
      </c>
      <c r="K33" s="177" t="s">
        <v>244</v>
      </c>
      <c r="L33" s="178" t="s">
        <v>70</v>
      </c>
      <c r="M33" s="144" t="s">
        <v>50</v>
      </c>
      <c r="N33" s="145" t="str">
        <f t="shared" si="0"/>
        <v>Gastos por Caja Menor</v>
      </c>
      <c r="O33" s="146">
        <v>1</v>
      </c>
      <c r="P33" s="146">
        <v>1</v>
      </c>
      <c r="Q33" s="147">
        <v>11</v>
      </c>
      <c r="R33" s="148" t="s">
        <v>51</v>
      </c>
      <c r="S33" s="149" t="s">
        <v>113</v>
      </c>
      <c r="T33" s="150" t="s">
        <v>53</v>
      </c>
      <c r="U33" s="151">
        <f t="shared" si="1"/>
        <v>127000000</v>
      </c>
      <c r="V33" s="152">
        <f t="shared" si="2"/>
        <v>127000000</v>
      </c>
      <c r="W33" s="153" t="s">
        <v>54</v>
      </c>
      <c r="X33" s="153" t="s">
        <v>55</v>
      </c>
      <c r="Y33" s="154" t="s">
        <v>56</v>
      </c>
      <c r="Z33" s="155" t="s">
        <v>57</v>
      </c>
      <c r="AA33" s="156" t="s">
        <v>42</v>
      </c>
      <c r="AB33" s="157" t="s">
        <v>58</v>
      </c>
      <c r="AC33" s="158" t="s">
        <v>59</v>
      </c>
      <c r="AD33" s="153" t="s">
        <v>54</v>
      </c>
      <c r="AE33" s="153" t="s">
        <v>60</v>
      </c>
      <c r="AF33" s="159" t="s">
        <v>61</v>
      </c>
      <c r="AG33" s="159" t="s">
        <v>62</v>
      </c>
      <c r="AH33" s="159" t="s">
        <v>63</v>
      </c>
      <c r="AI33" s="159" t="s">
        <v>64</v>
      </c>
      <c r="AJ33" s="159" t="s">
        <v>64</v>
      </c>
      <c r="AK33" s="197" t="s">
        <v>64</v>
      </c>
    </row>
    <row r="34" spans="1:37" ht="84.75" customHeight="1" thickBot="1" x14ac:dyDescent="0.25">
      <c r="A34" s="1"/>
      <c r="B34" s="196" t="s">
        <v>42</v>
      </c>
      <c r="C34" s="143">
        <v>1331</v>
      </c>
      <c r="D34" s="143" t="s">
        <v>67</v>
      </c>
      <c r="E34" s="143" t="s">
        <v>44</v>
      </c>
      <c r="F34" s="175" t="s">
        <v>114</v>
      </c>
      <c r="G34" s="175" t="s">
        <v>115</v>
      </c>
      <c r="H34" s="175" t="s">
        <v>47</v>
      </c>
      <c r="I34" s="176">
        <f>77500000+3000000</f>
        <v>80500000</v>
      </c>
      <c r="J34" s="177" t="s">
        <v>48</v>
      </c>
      <c r="K34" s="177" t="s">
        <v>244</v>
      </c>
      <c r="L34" s="178" t="s">
        <v>70</v>
      </c>
      <c r="M34" s="144" t="s">
        <v>50</v>
      </c>
      <c r="N34" s="145" t="str">
        <f t="shared" si="0"/>
        <v>Gastos por Caja Menor</v>
      </c>
      <c r="O34" s="146">
        <v>1</v>
      </c>
      <c r="P34" s="146">
        <v>1</v>
      </c>
      <c r="Q34" s="147">
        <v>11</v>
      </c>
      <c r="R34" s="148" t="s">
        <v>51</v>
      </c>
      <c r="S34" s="149" t="s">
        <v>116</v>
      </c>
      <c r="T34" s="150" t="s">
        <v>53</v>
      </c>
      <c r="U34" s="151">
        <f t="shared" si="1"/>
        <v>80500000</v>
      </c>
      <c r="V34" s="152">
        <f t="shared" si="2"/>
        <v>80500000</v>
      </c>
      <c r="W34" s="153" t="s">
        <v>54</v>
      </c>
      <c r="X34" s="153" t="s">
        <v>55</v>
      </c>
      <c r="Y34" s="154" t="s">
        <v>56</v>
      </c>
      <c r="Z34" s="155" t="s">
        <v>57</v>
      </c>
      <c r="AA34" s="156" t="s">
        <v>42</v>
      </c>
      <c r="AB34" s="157" t="s">
        <v>58</v>
      </c>
      <c r="AC34" s="158" t="s">
        <v>59</v>
      </c>
      <c r="AD34" s="153" t="s">
        <v>54</v>
      </c>
      <c r="AE34" s="153" t="s">
        <v>60</v>
      </c>
      <c r="AF34" s="159" t="s">
        <v>61</v>
      </c>
      <c r="AG34" s="159" t="s">
        <v>62</v>
      </c>
      <c r="AH34" s="159" t="s">
        <v>63</v>
      </c>
      <c r="AI34" s="159" t="s">
        <v>64</v>
      </c>
      <c r="AJ34" s="159" t="s">
        <v>64</v>
      </c>
      <c r="AK34" s="197" t="s">
        <v>64</v>
      </c>
    </row>
    <row r="35" spans="1:37" ht="84.75" customHeight="1" thickBot="1" x14ac:dyDescent="0.25">
      <c r="A35" s="1"/>
      <c r="B35" s="196" t="s">
        <v>42</v>
      </c>
      <c r="C35" s="143">
        <v>1331</v>
      </c>
      <c r="D35" s="143" t="s">
        <v>67</v>
      </c>
      <c r="E35" s="143" t="s">
        <v>44</v>
      </c>
      <c r="F35" s="175" t="s">
        <v>117</v>
      </c>
      <c r="G35" s="175" t="s">
        <v>118</v>
      </c>
      <c r="H35" s="175" t="s">
        <v>47</v>
      </c>
      <c r="I35" s="176">
        <f>139000000+40000000+3224025+100000-(5000000)</f>
        <v>177324025</v>
      </c>
      <c r="J35" s="177" t="s">
        <v>48</v>
      </c>
      <c r="K35" s="177" t="s">
        <v>48</v>
      </c>
      <c r="L35" s="178" t="s">
        <v>70</v>
      </c>
      <c r="M35" s="144" t="s">
        <v>50</v>
      </c>
      <c r="N35" s="145" t="str">
        <f t="shared" si="0"/>
        <v>Gastos por Caja Menor</v>
      </c>
      <c r="O35" s="146">
        <v>1</v>
      </c>
      <c r="P35" s="146">
        <v>1</v>
      </c>
      <c r="Q35" s="147">
        <v>11</v>
      </c>
      <c r="R35" s="148" t="s">
        <v>51</v>
      </c>
      <c r="S35" s="149" t="s">
        <v>119</v>
      </c>
      <c r="T35" s="150" t="s">
        <v>53</v>
      </c>
      <c r="U35" s="151">
        <f t="shared" si="1"/>
        <v>177324025</v>
      </c>
      <c r="V35" s="152">
        <f t="shared" si="2"/>
        <v>177324025</v>
      </c>
      <c r="W35" s="153" t="s">
        <v>54</v>
      </c>
      <c r="X35" s="153" t="s">
        <v>55</v>
      </c>
      <c r="Y35" s="154" t="s">
        <v>56</v>
      </c>
      <c r="Z35" s="155" t="s">
        <v>57</v>
      </c>
      <c r="AA35" s="156" t="s">
        <v>42</v>
      </c>
      <c r="AB35" s="157" t="s">
        <v>58</v>
      </c>
      <c r="AC35" s="158" t="s">
        <v>59</v>
      </c>
      <c r="AD35" s="153" t="s">
        <v>54</v>
      </c>
      <c r="AE35" s="153" t="s">
        <v>60</v>
      </c>
      <c r="AF35" s="159" t="s">
        <v>61</v>
      </c>
      <c r="AG35" s="159" t="s">
        <v>62</v>
      </c>
      <c r="AH35" s="159" t="s">
        <v>63</v>
      </c>
      <c r="AI35" s="159" t="s">
        <v>64</v>
      </c>
      <c r="AJ35" s="159" t="s">
        <v>64</v>
      </c>
      <c r="AK35" s="197" t="s">
        <v>64</v>
      </c>
    </row>
    <row r="36" spans="1:37" ht="84.75" customHeight="1" thickBot="1" x14ac:dyDescent="0.25">
      <c r="A36" s="1"/>
      <c r="B36" s="196" t="s">
        <v>42</v>
      </c>
      <c r="C36" s="143">
        <v>1331</v>
      </c>
      <c r="D36" s="143" t="s">
        <v>67</v>
      </c>
      <c r="E36" s="143" t="s">
        <v>44</v>
      </c>
      <c r="F36" s="175" t="s">
        <v>120</v>
      </c>
      <c r="G36" s="175" t="s">
        <v>121</v>
      </c>
      <c r="H36" s="175" t="s">
        <v>47</v>
      </c>
      <c r="I36" s="176">
        <f>10000000+3000000+400000+9130000</f>
        <v>22530000</v>
      </c>
      <c r="J36" s="177" t="s">
        <v>48</v>
      </c>
      <c r="K36" s="177" t="s">
        <v>48</v>
      </c>
      <c r="L36" s="178" t="s">
        <v>70</v>
      </c>
      <c r="M36" s="144" t="s">
        <v>50</v>
      </c>
      <c r="N36" s="145" t="str">
        <f t="shared" si="0"/>
        <v>Gastos por Caja Menor</v>
      </c>
      <c r="O36" s="146">
        <v>1</v>
      </c>
      <c r="P36" s="146">
        <v>1</v>
      </c>
      <c r="Q36" s="147">
        <v>11</v>
      </c>
      <c r="R36" s="148" t="s">
        <v>51</v>
      </c>
      <c r="S36" s="149" t="s">
        <v>122</v>
      </c>
      <c r="T36" s="150" t="s">
        <v>53</v>
      </c>
      <c r="U36" s="151">
        <f t="shared" si="1"/>
        <v>22530000</v>
      </c>
      <c r="V36" s="152">
        <f t="shared" si="2"/>
        <v>22530000</v>
      </c>
      <c r="W36" s="153" t="s">
        <v>54</v>
      </c>
      <c r="X36" s="153" t="s">
        <v>55</v>
      </c>
      <c r="Y36" s="154" t="s">
        <v>56</v>
      </c>
      <c r="Z36" s="155" t="s">
        <v>57</v>
      </c>
      <c r="AA36" s="156" t="s">
        <v>42</v>
      </c>
      <c r="AB36" s="157" t="s">
        <v>58</v>
      </c>
      <c r="AC36" s="158" t="s">
        <v>59</v>
      </c>
      <c r="AD36" s="153" t="s">
        <v>54</v>
      </c>
      <c r="AE36" s="153" t="s">
        <v>60</v>
      </c>
      <c r="AF36" s="159" t="s">
        <v>61</v>
      </c>
      <c r="AG36" s="159" t="s">
        <v>62</v>
      </c>
      <c r="AH36" s="159" t="s">
        <v>63</v>
      </c>
      <c r="AI36" s="159" t="s">
        <v>64</v>
      </c>
      <c r="AJ36" s="159" t="s">
        <v>64</v>
      </c>
      <c r="AK36" s="197" t="s">
        <v>64</v>
      </c>
    </row>
    <row r="37" spans="1:37" ht="84.75" customHeight="1" thickBot="1" x14ac:dyDescent="0.25">
      <c r="A37" s="1"/>
      <c r="B37" s="196" t="s">
        <v>42</v>
      </c>
      <c r="C37" s="143">
        <v>1331</v>
      </c>
      <c r="D37" s="143" t="s">
        <v>67</v>
      </c>
      <c r="E37" s="143" t="s">
        <v>44</v>
      </c>
      <c r="F37" s="175" t="s">
        <v>123</v>
      </c>
      <c r="G37" s="175" t="s">
        <v>124</v>
      </c>
      <c r="H37" s="175" t="s">
        <v>47</v>
      </c>
      <c r="I37" s="176">
        <v>96500000</v>
      </c>
      <c r="J37" s="177" t="s">
        <v>48</v>
      </c>
      <c r="K37" s="177" t="s">
        <v>48</v>
      </c>
      <c r="L37" s="178" t="s">
        <v>70</v>
      </c>
      <c r="M37" s="144" t="s">
        <v>50</v>
      </c>
      <c r="N37" s="145" t="str">
        <f t="shared" si="0"/>
        <v>Gastos por Caja Menor</v>
      </c>
      <c r="O37" s="146">
        <v>1</v>
      </c>
      <c r="P37" s="146">
        <v>1</v>
      </c>
      <c r="Q37" s="147">
        <v>11</v>
      </c>
      <c r="R37" s="148" t="s">
        <v>51</v>
      </c>
      <c r="S37" s="149" t="s">
        <v>125</v>
      </c>
      <c r="T37" s="150" t="s">
        <v>53</v>
      </c>
      <c r="U37" s="151">
        <f t="shared" si="1"/>
        <v>96500000</v>
      </c>
      <c r="V37" s="152">
        <f t="shared" si="2"/>
        <v>96500000</v>
      </c>
      <c r="W37" s="153" t="s">
        <v>54</v>
      </c>
      <c r="X37" s="153" t="s">
        <v>55</v>
      </c>
      <c r="Y37" s="154" t="s">
        <v>56</v>
      </c>
      <c r="Z37" s="155" t="s">
        <v>57</v>
      </c>
      <c r="AA37" s="156" t="s">
        <v>42</v>
      </c>
      <c r="AB37" s="157" t="s">
        <v>58</v>
      </c>
      <c r="AC37" s="158" t="s">
        <v>59</v>
      </c>
      <c r="AD37" s="153" t="s">
        <v>54</v>
      </c>
      <c r="AE37" s="153" t="s">
        <v>60</v>
      </c>
      <c r="AF37" s="159" t="s">
        <v>61</v>
      </c>
      <c r="AG37" s="159" t="s">
        <v>62</v>
      </c>
      <c r="AH37" s="159" t="s">
        <v>63</v>
      </c>
      <c r="AI37" s="159" t="s">
        <v>64</v>
      </c>
      <c r="AJ37" s="159" t="s">
        <v>64</v>
      </c>
      <c r="AK37" s="197" t="s">
        <v>64</v>
      </c>
    </row>
    <row r="38" spans="1:37" s="29" customFormat="1" ht="84.75" customHeight="1" thickBot="1" x14ac:dyDescent="0.25">
      <c r="A38" s="1"/>
      <c r="B38" s="196" t="s">
        <v>42</v>
      </c>
      <c r="C38" s="143">
        <v>1331</v>
      </c>
      <c r="D38" s="143" t="s">
        <v>67</v>
      </c>
      <c r="E38" s="143" t="s">
        <v>44</v>
      </c>
      <c r="F38" s="175" t="s">
        <v>126</v>
      </c>
      <c r="G38" s="175" t="s">
        <v>127</v>
      </c>
      <c r="H38" s="175" t="s">
        <v>47</v>
      </c>
      <c r="I38" s="176">
        <v>10000000</v>
      </c>
      <c r="J38" s="177" t="s">
        <v>48</v>
      </c>
      <c r="K38" s="177" t="s">
        <v>48</v>
      </c>
      <c r="L38" s="178" t="s">
        <v>70</v>
      </c>
      <c r="M38" s="144"/>
      <c r="N38" s="145"/>
      <c r="O38" s="146"/>
      <c r="P38" s="146"/>
      <c r="Q38" s="147"/>
      <c r="R38" s="148"/>
      <c r="S38" s="149"/>
      <c r="T38" s="150" t="s">
        <v>53</v>
      </c>
      <c r="U38" s="151">
        <f t="shared" si="1"/>
        <v>10000000</v>
      </c>
      <c r="V38" s="152">
        <f t="shared" si="2"/>
        <v>10000000</v>
      </c>
      <c r="W38" s="153"/>
      <c r="X38" s="153"/>
      <c r="Y38" s="154"/>
      <c r="Z38" s="155"/>
      <c r="AA38" s="156"/>
      <c r="AB38" s="157" t="s">
        <v>58</v>
      </c>
      <c r="AC38" s="158"/>
      <c r="AD38" s="153"/>
      <c r="AE38" s="153"/>
      <c r="AF38" s="159"/>
      <c r="AG38" s="159"/>
      <c r="AH38" s="159"/>
      <c r="AI38" s="159"/>
      <c r="AJ38" s="159"/>
      <c r="AK38" s="197"/>
    </row>
    <row r="39" spans="1:37" ht="84.75" customHeight="1" thickBot="1" x14ac:dyDescent="0.25">
      <c r="A39" s="1"/>
      <c r="B39" s="196" t="s">
        <v>42</v>
      </c>
      <c r="C39" s="143">
        <v>1331</v>
      </c>
      <c r="D39" s="143" t="s">
        <v>67</v>
      </c>
      <c r="E39" s="143" t="s">
        <v>44</v>
      </c>
      <c r="F39" s="175" t="s">
        <v>128</v>
      </c>
      <c r="G39" s="175" t="s">
        <v>129</v>
      </c>
      <c r="H39" s="175" t="s">
        <v>47</v>
      </c>
      <c r="I39" s="176">
        <v>40000000</v>
      </c>
      <c r="J39" s="177" t="s">
        <v>48</v>
      </c>
      <c r="K39" s="177" t="s">
        <v>48</v>
      </c>
      <c r="L39" s="178" t="s">
        <v>70</v>
      </c>
      <c r="M39" s="144" t="s">
        <v>50</v>
      </c>
      <c r="N39" s="145" t="str">
        <f t="shared" ref="N39:N50" si="3">H39</f>
        <v>Gastos por Caja Menor</v>
      </c>
      <c r="O39" s="146">
        <v>1</v>
      </c>
      <c r="P39" s="146">
        <v>1</v>
      </c>
      <c r="Q39" s="147">
        <v>11</v>
      </c>
      <c r="R39" s="148" t="s">
        <v>51</v>
      </c>
      <c r="S39" s="149" t="s">
        <v>130</v>
      </c>
      <c r="T39" s="150" t="s">
        <v>53</v>
      </c>
      <c r="U39" s="151">
        <f t="shared" si="1"/>
        <v>40000000</v>
      </c>
      <c r="V39" s="152">
        <f t="shared" si="2"/>
        <v>40000000</v>
      </c>
      <c r="W39" s="153" t="s">
        <v>54</v>
      </c>
      <c r="X39" s="153" t="s">
        <v>55</v>
      </c>
      <c r="Y39" s="154" t="s">
        <v>56</v>
      </c>
      <c r="Z39" s="155" t="s">
        <v>57</v>
      </c>
      <c r="AA39" s="156" t="s">
        <v>42</v>
      </c>
      <c r="AB39" s="157" t="s">
        <v>58</v>
      </c>
      <c r="AC39" s="158" t="s">
        <v>59</v>
      </c>
      <c r="AD39" s="153" t="s">
        <v>54</v>
      </c>
      <c r="AE39" s="153" t="s">
        <v>60</v>
      </c>
      <c r="AF39" s="159" t="s">
        <v>61</v>
      </c>
      <c r="AG39" s="159" t="s">
        <v>62</v>
      </c>
      <c r="AH39" s="159" t="s">
        <v>63</v>
      </c>
      <c r="AI39" s="159" t="s">
        <v>64</v>
      </c>
      <c r="AJ39" s="159" t="s">
        <v>64</v>
      </c>
      <c r="AK39" s="197" t="s">
        <v>64</v>
      </c>
    </row>
    <row r="40" spans="1:37" ht="84.75" customHeight="1" thickBot="1" x14ac:dyDescent="0.25">
      <c r="A40" s="1"/>
      <c r="B40" s="196" t="s">
        <v>42</v>
      </c>
      <c r="C40" s="143">
        <v>1470</v>
      </c>
      <c r="D40" s="143" t="s">
        <v>131</v>
      </c>
      <c r="E40" s="143" t="s">
        <v>132</v>
      </c>
      <c r="F40" s="175" t="s">
        <v>128</v>
      </c>
      <c r="G40" s="175" t="s">
        <v>129</v>
      </c>
      <c r="H40" s="175" t="s">
        <v>47</v>
      </c>
      <c r="I40" s="176">
        <v>1000000</v>
      </c>
      <c r="J40" s="177" t="s">
        <v>48</v>
      </c>
      <c r="K40" s="177" t="s">
        <v>48</v>
      </c>
      <c r="L40" s="178" t="s">
        <v>70</v>
      </c>
      <c r="M40" s="144" t="s">
        <v>50</v>
      </c>
      <c r="N40" s="145" t="str">
        <f t="shared" si="3"/>
        <v>Gastos por Caja Menor</v>
      </c>
      <c r="O40" s="146">
        <v>1</v>
      </c>
      <c r="P40" s="146">
        <v>1</v>
      </c>
      <c r="Q40" s="147">
        <v>11</v>
      </c>
      <c r="R40" s="148" t="s">
        <v>51</v>
      </c>
      <c r="S40" s="149" t="s">
        <v>133</v>
      </c>
      <c r="T40" s="150" t="s">
        <v>53</v>
      </c>
      <c r="U40" s="151">
        <f t="shared" si="1"/>
        <v>1000000</v>
      </c>
      <c r="V40" s="152">
        <f t="shared" si="2"/>
        <v>1000000</v>
      </c>
      <c r="W40" s="153" t="s">
        <v>54</v>
      </c>
      <c r="X40" s="153" t="s">
        <v>55</v>
      </c>
      <c r="Y40" s="154" t="s">
        <v>56</v>
      </c>
      <c r="Z40" s="155" t="s">
        <v>57</v>
      </c>
      <c r="AA40" s="156" t="s">
        <v>42</v>
      </c>
      <c r="AB40" s="157" t="s">
        <v>58</v>
      </c>
      <c r="AC40" s="158" t="s">
        <v>59</v>
      </c>
      <c r="AD40" s="153" t="s">
        <v>54</v>
      </c>
      <c r="AE40" s="153" t="s">
        <v>60</v>
      </c>
      <c r="AF40" s="159" t="s">
        <v>61</v>
      </c>
      <c r="AG40" s="159" t="s">
        <v>62</v>
      </c>
      <c r="AH40" s="159" t="s">
        <v>63</v>
      </c>
      <c r="AI40" s="159" t="s">
        <v>64</v>
      </c>
      <c r="AJ40" s="159" t="s">
        <v>64</v>
      </c>
      <c r="AK40" s="197" t="s">
        <v>64</v>
      </c>
    </row>
    <row r="41" spans="1:37" ht="84.75" customHeight="1" thickBot="1" x14ac:dyDescent="0.25">
      <c r="A41" s="1"/>
      <c r="B41" s="196" t="s">
        <v>42</v>
      </c>
      <c r="C41" s="143">
        <v>1470</v>
      </c>
      <c r="D41" s="143" t="s">
        <v>131</v>
      </c>
      <c r="E41" s="143" t="s">
        <v>132</v>
      </c>
      <c r="F41" s="175" t="s">
        <v>111</v>
      </c>
      <c r="G41" s="175" t="s">
        <v>112</v>
      </c>
      <c r="H41" s="175" t="s">
        <v>47</v>
      </c>
      <c r="I41" s="176">
        <v>1000000</v>
      </c>
      <c r="J41" s="177" t="s">
        <v>48</v>
      </c>
      <c r="K41" s="177" t="s">
        <v>48</v>
      </c>
      <c r="L41" s="178" t="s">
        <v>70</v>
      </c>
      <c r="M41" s="144" t="s">
        <v>50</v>
      </c>
      <c r="N41" s="145" t="str">
        <f t="shared" si="3"/>
        <v>Gastos por Caja Menor</v>
      </c>
      <c r="O41" s="146">
        <v>1</v>
      </c>
      <c r="P41" s="146">
        <v>1</v>
      </c>
      <c r="Q41" s="147">
        <v>11</v>
      </c>
      <c r="R41" s="148" t="s">
        <v>51</v>
      </c>
      <c r="S41" s="149" t="s">
        <v>134</v>
      </c>
      <c r="T41" s="150" t="s">
        <v>53</v>
      </c>
      <c r="U41" s="151">
        <f t="shared" si="1"/>
        <v>1000000</v>
      </c>
      <c r="V41" s="152">
        <f t="shared" si="2"/>
        <v>1000000</v>
      </c>
      <c r="W41" s="153" t="s">
        <v>54</v>
      </c>
      <c r="X41" s="153" t="s">
        <v>55</v>
      </c>
      <c r="Y41" s="154" t="s">
        <v>56</v>
      </c>
      <c r="Z41" s="155" t="s">
        <v>57</v>
      </c>
      <c r="AA41" s="156" t="s">
        <v>42</v>
      </c>
      <c r="AB41" s="157" t="s">
        <v>58</v>
      </c>
      <c r="AC41" s="158" t="s">
        <v>59</v>
      </c>
      <c r="AD41" s="153" t="s">
        <v>54</v>
      </c>
      <c r="AE41" s="153" t="s">
        <v>60</v>
      </c>
      <c r="AF41" s="159" t="s">
        <v>61</v>
      </c>
      <c r="AG41" s="159" t="s">
        <v>62</v>
      </c>
      <c r="AH41" s="159" t="s">
        <v>63</v>
      </c>
      <c r="AI41" s="159" t="s">
        <v>64</v>
      </c>
      <c r="AJ41" s="159" t="s">
        <v>64</v>
      </c>
      <c r="AK41" s="197" t="s">
        <v>64</v>
      </c>
    </row>
    <row r="42" spans="1:37" ht="84.75" customHeight="1" thickBot="1" x14ac:dyDescent="0.25">
      <c r="A42" s="1"/>
      <c r="B42" s="196" t="s">
        <v>42</v>
      </c>
      <c r="C42" s="143">
        <v>1470</v>
      </c>
      <c r="D42" s="143" t="s">
        <v>131</v>
      </c>
      <c r="E42" s="143" t="s">
        <v>132</v>
      </c>
      <c r="F42" s="175" t="s">
        <v>114</v>
      </c>
      <c r="G42" s="175" t="s">
        <v>115</v>
      </c>
      <c r="H42" s="175" t="s">
        <v>47</v>
      </c>
      <c r="I42" s="176">
        <v>1000000</v>
      </c>
      <c r="J42" s="177" t="s">
        <v>48</v>
      </c>
      <c r="K42" s="177" t="s">
        <v>48</v>
      </c>
      <c r="L42" s="178" t="s">
        <v>70</v>
      </c>
      <c r="M42" s="144" t="s">
        <v>50</v>
      </c>
      <c r="N42" s="145" t="str">
        <f t="shared" si="3"/>
        <v>Gastos por Caja Menor</v>
      </c>
      <c r="O42" s="146">
        <v>1</v>
      </c>
      <c r="P42" s="146">
        <v>1</v>
      </c>
      <c r="Q42" s="147">
        <v>11</v>
      </c>
      <c r="R42" s="148" t="s">
        <v>51</v>
      </c>
      <c r="S42" s="149" t="s">
        <v>135</v>
      </c>
      <c r="T42" s="150" t="s">
        <v>53</v>
      </c>
      <c r="U42" s="151">
        <f t="shared" si="1"/>
        <v>1000000</v>
      </c>
      <c r="V42" s="152">
        <f t="shared" si="2"/>
        <v>1000000</v>
      </c>
      <c r="W42" s="153" t="s">
        <v>54</v>
      </c>
      <c r="X42" s="153" t="s">
        <v>55</v>
      </c>
      <c r="Y42" s="154" t="s">
        <v>56</v>
      </c>
      <c r="Z42" s="155" t="s">
        <v>57</v>
      </c>
      <c r="AA42" s="156" t="s">
        <v>42</v>
      </c>
      <c r="AB42" s="157" t="s">
        <v>58</v>
      </c>
      <c r="AC42" s="158" t="s">
        <v>59</v>
      </c>
      <c r="AD42" s="153" t="s">
        <v>54</v>
      </c>
      <c r="AE42" s="153" t="s">
        <v>60</v>
      </c>
      <c r="AF42" s="159" t="s">
        <v>61</v>
      </c>
      <c r="AG42" s="159" t="s">
        <v>62</v>
      </c>
      <c r="AH42" s="159" t="s">
        <v>63</v>
      </c>
      <c r="AI42" s="159" t="s">
        <v>64</v>
      </c>
      <c r="AJ42" s="159" t="s">
        <v>64</v>
      </c>
      <c r="AK42" s="197" t="s">
        <v>64</v>
      </c>
    </row>
    <row r="43" spans="1:37" ht="84.75" customHeight="1" thickBot="1" x14ac:dyDescent="0.25">
      <c r="A43" s="1"/>
      <c r="B43" s="196" t="s">
        <v>42</v>
      </c>
      <c r="C43" s="143">
        <v>1480</v>
      </c>
      <c r="D43" s="143" t="s">
        <v>136</v>
      </c>
      <c r="E43" s="143" t="s">
        <v>132</v>
      </c>
      <c r="F43" s="175" t="s">
        <v>128</v>
      </c>
      <c r="G43" s="175" t="s">
        <v>129</v>
      </c>
      <c r="H43" s="175" t="s">
        <v>47</v>
      </c>
      <c r="I43" s="176">
        <v>1000000</v>
      </c>
      <c r="J43" s="177" t="s">
        <v>48</v>
      </c>
      <c r="K43" s="177" t="s">
        <v>48</v>
      </c>
      <c r="L43" s="178" t="s">
        <v>70</v>
      </c>
      <c r="M43" s="144" t="s">
        <v>50</v>
      </c>
      <c r="N43" s="145" t="str">
        <f t="shared" si="3"/>
        <v>Gastos por Caja Menor</v>
      </c>
      <c r="O43" s="146">
        <v>1</v>
      </c>
      <c r="P43" s="146">
        <v>1</v>
      </c>
      <c r="Q43" s="147">
        <v>11</v>
      </c>
      <c r="R43" s="148" t="s">
        <v>51</v>
      </c>
      <c r="S43" s="149" t="s">
        <v>137</v>
      </c>
      <c r="T43" s="150" t="s">
        <v>53</v>
      </c>
      <c r="U43" s="151">
        <f t="shared" si="1"/>
        <v>1000000</v>
      </c>
      <c r="V43" s="152">
        <f t="shared" si="2"/>
        <v>1000000</v>
      </c>
      <c r="W43" s="153" t="s">
        <v>54</v>
      </c>
      <c r="X43" s="153" t="s">
        <v>55</v>
      </c>
      <c r="Y43" s="154" t="s">
        <v>56</v>
      </c>
      <c r="Z43" s="155" t="s">
        <v>57</v>
      </c>
      <c r="AA43" s="156" t="s">
        <v>42</v>
      </c>
      <c r="AB43" s="157" t="s">
        <v>58</v>
      </c>
      <c r="AC43" s="158" t="s">
        <v>59</v>
      </c>
      <c r="AD43" s="153" t="s">
        <v>54</v>
      </c>
      <c r="AE43" s="153" t="s">
        <v>60</v>
      </c>
      <c r="AF43" s="159" t="s">
        <v>61</v>
      </c>
      <c r="AG43" s="159" t="s">
        <v>62</v>
      </c>
      <c r="AH43" s="159" t="s">
        <v>63</v>
      </c>
      <c r="AI43" s="159" t="s">
        <v>64</v>
      </c>
      <c r="AJ43" s="159" t="s">
        <v>64</v>
      </c>
      <c r="AK43" s="197" t="s">
        <v>64</v>
      </c>
    </row>
    <row r="44" spans="1:37" ht="84.75" customHeight="1" thickBot="1" x14ac:dyDescent="0.25">
      <c r="A44" s="1"/>
      <c r="B44" s="196" t="s">
        <v>42</v>
      </c>
      <c r="C44" s="143">
        <v>1331</v>
      </c>
      <c r="D44" s="143" t="s">
        <v>67</v>
      </c>
      <c r="E44" s="143" t="s">
        <v>44</v>
      </c>
      <c r="F44" s="175" t="s">
        <v>138</v>
      </c>
      <c r="G44" s="175" t="s">
        <v>139</v>
      </c>
      <c r="H44" s="175" t="s">
        <v>47</v>
      </c>
      <c r="I44" s="176">
        <v>6000000</v>
      </c>
      <c r="J44" s="177" t="s">
        <v>48</v>
      </c>
      <c r="K44" s="177" t="s">
        <v>48</v>
      </c>
      <c r="L44" s="178" t="s">
        <v>70</v>
      </c>
      <c r="M44" s="144" t="s">
        <v>50</v>
      </c>
      <c r="N44" s="145" t="str">
        <f t="shared" si="3"/>
        <v>Gastos por Caja Menor</v>
      </c>
      <c r="O44" s="146">
        <v>1</v>
      </c>
      <c r="P44" s="146">
        <v>1</v>
      </c>
      <c r="Q44" s="147">
        <v>11</v>
      </c>
      <c r="R44" s="148" t="s">
        <v>51</v>
      </c>
      <c r="S44" s="149" t="s">
        <v>137</v>
      </c>
      <c r="T44" s="150" t="s">
        <v>53</v>
      </c>
      <c r="U44" s="151">
        <f t="shared" si="1"/>
        <v>6000000</v>
      </c>
      <c r="V44" s="152">
        <f t="shared" si="2"/>
        <v>6000000</v>
      </c>
      <c r="W44" s="153" t="s">
        <v>54</v>
      </c>
      <c r="X44" s="153" t="s">
        <v>55</v>
      </c>
      <c r="Y44" s="154" t="s">
        <v>56</v>
      </c>
      <c r="Z44" s="155" t="s">
        <v>57</v>
      </c>
      <c r="AA44" s="156" t="s">
        <v>42</v>
      </c>
      <c r="AB44" s="157" t="s">
        <v>58</v>
      </c>
      <c r="AC44" s="158" t="s">
        <v>59</v>
      </c>
      <c r="AD44" s="153" t="s">
        <v>54</v>
      </c>
      <c r="AE44" s="153" t="s">
        <v>60</v>
      </c>
      <c r="AF44" s="159" t="s">
        <v>61</v>
      </c>
      <c r="AG44" s="159" t="s">
        <v>62</v>
      </c>
      <c r="AH44" s="159" t="s">
        <v>63</v>
      </c>
      <c r="AI44" s="159" t="s">
        <v>64</v>
      </c>
      <c r="AJ44" s="159" t="s">
        <v>64</v>
      </c>
      <c r="AK44" s="197" t="s">
        <v>64</v>
      </c>
    </row>
    <row r="45" spans="1:37" ht="84.75" customHeight="1" thickBot="1" x14ac:dyDescent="0.25">
      <c r="A45" s="1"/>
      <c r="B45" s="196" t="s">
        <v>42</v>
      </c>
      <c r="C45" s="143">
        <v>1321</v>
      </c>
      <c r="D45" s="143" t="s">
        <v>140</v>
      </c>
      <c r="E45" s="143" t="s">
        <v>141</v>
      </c>
      <c r="F45" s="175" t="s">
        <v>120</v>
      </c>
      <c r="G45" s="175" t="s">
        <v>121</v>
      </c>
      <c r="H45" s="175" t="s">
        <v>142</v>
      </c>
      <c r="I45" s="176">
        <f>7644000-(1975000+1647574)</f>
        <v>4021426</v>
      </c>
      <c r="J45" s="177" t="s">
        <v>48</v>
      </c>
      <c r="K45" s="177" t="s">
        <v>48</v>
      </c>
      <c r="L45" s="178" t="s">
        <v>143</v>
      </c>
      <c r="M45" s="144" t="s">
        <v>50</v>
      </c>
      <c r="N45" s="145" t="str">
        <f t="shared" si="3"/>
        <v>Amparar el pago de seguimiento y evaluación requeridos para la ejecución de conceptos técnicos forestales.</v>
      </c>
      <c r="O45" s="146">
        <v>1</v>
      </c>
      <c r="P45" s="146">
        <v>1</v>
      </c>
      <c r="Q45" s="147">
        <v>11</v>
      </c>
      <c r="R45" s="148" t="s">
        <v>51</v>
      </c>
      <c r="S45" s="149" t="s">
        <v>144</v>
      </c>
      <c r="T45" s="150" t="s">
        <v>145</v>
      </c>
      <c r="U45" s="151">
        <f t="shared" si="1"/>
        <v>4021426</v>
      </c>
      <c r="V45" s="152">
        <f t="shared" si="2"/>
        <v>4021426</v>
      </c>
      <c r="W45" s="153" t="s">
        <v>54</v>
      </c>
      <c r="X45" s="153" t="s">
        <v>55</v>
      </c>
      <c r="Y45" s="154" t="s">
        <v>56</v>
      </c>
      <c r="Z45" s="155" t="s">
        <v>57</v>
      </c>
      <c r="AA45" s="156" t="s">
        <v>42</v>
      </c>
      <c r="AB45" s="157" t="s">
        <v>58</v>
      </c>
      <c r="AC45" s="158" t="s">
        <v>59</v>
      </c>
      <c r="AD45" s="153" t="s">
        <v>54</v>
      </c>
      <c r="AE45" s="153" t="s">
        <v>60</v>
      </c>
      <c r="AF45" s="159" t="s">
        <v>61</v>
      </c>
      <c r="AG45" s="159" t="s">
        <v>62</v>
      </c>
      <c r="AH45" s="159" t="s">
        <v>63</v>
      </c>
      <c r="AI45" s="159" t="s">
        <v>64</v>
      </c>
      <c r="AJ45" s="159" t="s">
        <v>64</v>
      </c>
      <c r="AK45" s="197" t="s">
        <v>64</v>
      </c>
    </row>
    <row r="46" spans="1:37" ht="84.75" customHeight="1" thickBot="1" x14ac:dyDescent="0.25">
      <c r="A46" s="1"/>
      <c r="B46" s="196" t="s">
        <v>42</v>
      </c>
      <c r="C46" s="143">
        <v>1480</v>
      </c>
      <c r="D46" s="143" t="s">
        <v>136</v>
      </c>
      <c r="E46" s="143" t="s">
        <v>132</v>
      </c>
      <c r="F46" s="175" t="s">
        <v>111</v>
      </c>
      <c r="G46" s="175" t="s">
        <v>112</v>
      </c>
      <c r="H46" s="175" t="s">
        <v>47</v>
      </c>
      <c r="I46" s="176">
        <v>2000000</v>
      </c>
      <c r="J46" s="177" t="s">
        <v>48</v>
      </c>
      <c r="K46" s="177" t="s">
        <v>48</v>
      </c>
      <c r="L46" s="178" t="s">
        <v>70</v>
      </c>
      <c r="M46" s="144" t="s">
        <v>50</v>
      </c>
      <c r="N46" s="145" t="str">
        <f t="shared" si="3"/>
        <v>Gastos por Caja Menor</v>
      </c>
      <c r="O46" s="146">
        <v>1</v>
      </c>
      <c r="P46" s="146">
        <v>1</v>
      </c>
      <c r="Q46" s="147">
        <v>11</v>
      </c>
      <c r="R46" s="148" t="s">
        <v>51</v>
      </c>
      <c r="S46" s="149" t="s">
        <v>146</v>
      </c>
      <c r="T46" s="150" t="s">
        <v>53</v>
      </c>
      <c r="U46" s="151">
        <f t="shared" si="1"/>
        <v>2000000</v>
      </c>
      <c r="V46" s="152">
        <f t="shared" si="2"/>
        <v>2000000</v>
      </c>
      <c r="W46" s="153" t="s">
        <v>54</v>
      </c>
      <c r="X46" s="153" t="s">
        <v>55</v>
      </c>
      <c r="Y46" s="154" t="s">
        <v>56</v>
      </c>
      <c r="Z46" s="155" t="s">
        <v>57</v>
      </c>
      <c r="AA46" s="156" t="s">
        <v>42</v>
      </c>
      <c r="AB46" s="157" t="s">
        <v>58</v>
      </c>
      <c r="AC46" s="158" t="s">
        <v>59</v>
      </c>
      <c r="AD46" s="153" t="s">
        <v>54</v>
      </c>
      <c r="AE46" s="153" t="s">
        <v>60</v>
      </c>
      <c r="AF46" s="159" t="s">
        <v>61</v>
      </c>
      <c r="AG46" s="159" t="s">
        <v>62</v>
      </c>
      <c r="AH46" s="159" t="s">
        <v>63</v>
      </c>
      <c r="AI46" s="159" t="s">
        <v>64</v>
      </c>
      <c r="AJ46" s="159" t="s">
        <v>64</v>
      </c>
      <c r="AK46" s="197" t="s">
        <v>64</v>
      </c>
    </row>
    <row r="47" spans="1:37" ht="84.75" customHeight="1" thickBot="1" x14ac:dyDescent="0.25">
      <c r="A47" s="1"/>
      <c r="B47" s="196" t="s">
        <v>42</v>
      </c>
      <c r="C47" s="143">
        <v>1331</v>
      </c>
      <c r="D47" s="143" t="s">
        <v>67</v>
      </c>
      <c r="E47" s="143" t="s">
        <v>44</v>
      </c>
      <c r="F47" s="175" t="s">
        <v>147</v>
      </c>
      <c r="G47" s="175" t="s">
        <v>148</v>
      </c>
      <c r="H47" s="175" t="s">
        <v>47</v>
      </c>
      <c r="I47" s="176">
        <v>0</v>
      </c>
      <c r="J47" s="177" t="s">
        <v>48</v>
      </c>
      <c r="K47" s="177" t="s">
        <v>48</v>
      </c>
      <c r="L47" s="178" t="s">
        <v>70</v>
      </c>
      <c r="M47" s="144" t="s">
        <v>50</v>
      </c>
      <c r="N47" s="145" t="str">
        <f t="shared" si="3"/>
        <v>Gastos por Caja Menor</v>
      </c>
      <c r="O47" s="146">
        <v>1</v>
      </c>
      <c r="P47" s="146">
        <v>1</v>
      </c>
      <c r="Q47" s="147">
        <v>11</v>
      </c>
      <c r="R47" s="148" t="s">
        <v>51</v>
      </c>
      <c r="S47" s="149" t="s">
        <v>149</v>
      </c>
      <c r="T47" s="150" t="s">
        <v>53</v>
      </c>
      <c r="U47" s="151">
        <f t="shared" si="1"/>
        <v>0</v>
      </c>
      <c r="V47" s="152">
        <f t="shared" si="2"/>
        <v>0</v>
      </c>
      <c r="W47" s="153" t="s">
        <v>54</v>
      </c>
      <c r="X47" s="153" t="s">
        <v>55</v>
      </c>
      <c r="Y47" s="154" t="s">
        <v>56</v>
      </c>
      <c r="Z47" s="155" t="s">
        <v>57</v>
      </c>
      <c r="AA47" s="156" t="s">
        <v>42</v>
      </c>
      <c r="AB47" s="157" t="s">
        <v>58</v>
      </c>
      <c r="AC47" s="158" t="s">
        <v>59</v>
      </c>
      <c r="AD47" s="153" t="s">
        <v>54</v>
      </c>
      <c r="AE47" s="153" t="s">
        <v>60</v>
      </c>
      <c r="AF47" s="159" t="s">
        <v>61</v>
      </c>
      <c r="AG47" s="159" t="s">
        <v>62</v>
      </c>
      <c r="AH47" s="159" t="s">
        <v>63</v>
      </c>
      <c r="AI47" s="159" t="s">
        <v>64</v>
      </c>
      <c r="AJ47" s="159" t="s">
        <v>64</v>
      </c>
      <c r="AK47" s="197" t="s">
        <v>64</v>
      </c>
    </row>
    <row r="48" spans="1:37" ht="84.75" customHeight="1" thickBot="1" x14ac:dyDescent="0.25">
      <c r="A48" s="1"/>
      <c r="B48" s="196" t="s">
        <v>42</v>
      </c>
      <c r="C48" s="143">
        <v>1320</v>
      </c>
      <c r="D48" s="143" t="s">
        <v>150</v>
      </c>
      <c r="E48" s="143" t="s">
        <v>44</v>
      </c>
      <c r="F48" s="175" t="s">
        <v>151</v>
      </c>
      <c r="G48" s="175" t="s">
        <v>152</v>
      </c>
      <c r="H48" s="175" t="s">
        <v>152</v>
      </c>
      <c r="I48" s="176">
        <v>0</v>
      </c>
      <c r="J48" s="177" t="s">
        <v>48</v>
      </c>
      <c r="K48" s="177" t="s">
        <v>48</v>
      </c>
      <c r="L48" s="178" t="s">
        <v>153</v>
      </c>
      <c r="M48" s="144" t="s">
        <v>50</v>
      </c>
      <c r="N48" s="145" t="str">
        <f t="shared" si="3"/>
        <v xml:space="preserve">Bonificación sindical </v>
      </c>
      <c r="O48" s="146">
        <v>1</v>
      </c>
      <c r="P48" s="146">
        <v>1</v>
      </c>
      <c r="Q48" s="147">
        <v>11</v>
      </c>
      <c r="R48" s="148" t="s">
        <v>51</v>
      </c>
      <c r="S48" s="149" t="s">
        <v>154</v>
      </c>
      <c r="T48" s="150" t="s">
        <v>53</v>
      </c>
      <c r="U48" s="151">
        <f t="shared" si="1"/>
        <v>0</v>
      </c>
      <c r="V48" s="152">
        <f t="shared" si="2"/>
        <v>0</v>
      </c>
      <c r="W48" s="153" t="s">
        <v>54</v>
      </c>
      <c r="X48" s="153" t="s">
        <v>55</v>
      </c>
      <c r="Y48" s="154" t="s">
        <v>56</v>
      </c>
      <c r="Z48" s="155" t="s">
        <v>57</v>
      </c>
      <c r="AA48" s="156" t="s">
        <v>42</v>
      </c>
      <c r="AB48" s="157" t="s">
        <v>58</v>
      </c>
      <c r="AC48" s="158" t="s">
        <v>59</v>
      </c>
      <c r="AD48" s="153" t="s">
        <v>54</v>
      </c>
      <c r="AE48" s="153" t="s">
        <v>60</v>
      </c>
      <c r="AF48" s="159" t="s">
        <v>61</v>
      </c>
      <c r="AG48" s="159" t="s">
        <v>62</v>
      </c>
      <c r="AH48" s="159" t="s">
        <v>63</v>
      </c>
      <c r="AI48" s="159" t="s">
        <v>64</v>
      </c>
      <c r="AJ48" s="159" t="s">
        <v>64</v>
      </c>
      <c r="AK48" s="197" t="s">
        <v>64</v>
      </c>
    </row>
    <row r="49" spans="1:41" ht="84.75" customHeight="1" thickBot="1" x14ac:dyDescent="0.25">
      <c r="A49" s="1"/>
      <c r="B49" s="196" t="s">
        <v>42</v>
      </c>
      <c r="C49" s="143">
        <v>1325</v>
      </c>
      <c r="D49" s="143" t="s">
        <v>155</v>
      </c>
      <c r="E49" s="143" t="s">
        <v>156</v>
      </c>
      <c r="F49" s="175" t="s">
        <v>78</v>
      </c>
      <c r="G49" s="175" t="s">
        <v>79</v>
      </c>
      <c r="H49" s="175" t="s">
        <v>157</v>
      </c>
      <c r="I49" s="176">
        <v>30000000</v>
      </c>
      <c r="J49" s="177" t="s">
        <v>48</v>
      </c>
      <c r="K49" s="177" t="s">
        <v>48</v>
      </c>
      <c r="L49" s="178" t="s">
        <v>158</v>
      </c>
      <c r="M49" s="144">
        <v>43211600</v>
      </c>
      <c r="N49" s="145" t="str">
        <f t="shared" si="3"/>
        <v>Adquirir partes, piezas, accesorios y periféricos en tecnología informática para los equipos de cómputo de la Universidad Pedagógica Nacional</v>
      </c>
      <c r="O49" s="146">
        <v>1</v>
      </c>
      <c r="P49" s="146">
        <v>1</v>
      </c>
      <c r="Q49" s="147">
        <v>11</v>
      </c>
      <c r="R49" s="148" t="s">
        <v>51</v>
      </c>
      <c r="S49" s="149" t="s">
        <v>159</v>
      </c>
      <c r="T49" s="150" t="s">
        <v>53</v>
      </c>
      <c r="U49" s="151">
        <f t="shared" si="1"/>
        <v>30000000</v>
      </c>
      <c r="V49" s="152">
        <f t="shared" si="2"/>
        <v>30000000</v>
      </c>
      <c r="W49" s="153" t="s">
        <v>54</v>
      </c>
      <c r="X49" s="153" t="s">
        <v>55</v>
      </c>
      <c r="Y49" s="154" t="s">
        <v>56</v>
      </c>
      <c r="Z49" s="155" t="s">
        <v>57</v>
      </c>
      <c r="AA49" s="156" t="s">
        <v>42</v>
      </c>
      <c r="AB49" s="157" t="s">
        <v>58</v>
      </c>
      <c r="AC49" s="158" t="s">
        <v>59</v>
      </c>
      <c r="AD49" s="153" t="s">
        <v>54</v>
      </c>
      <c r="AE49" s="153" t="s">
        <v>60</v>
      </c>
      <c r="AF49" s="159" t="s">
        <v>61</v>
      </c>
      <c r="AG49" s="159" t="s">
        <v>62</v>
      </c>
      <c r="AH49" s="159" t="s">
        <v>63</v>
      </c>
      <c r="AI49" s="159" t="s">
        <v>64</v>
      </c>
      <c r="AJ49" s="159" t="s">
        <v>64</v>
      </c>
      <c r="AK49" s="197" t="s">
        <v>64</v>
      </c>
    </row>
    <row r="50" spans="1:41" ht="84.75" customHeight="1" thickBot="1" x14ac:dyDescent="0.25">
      <c r="A50" s="1"/>
      <c r="B50" s="196" t="s">
        <v>42</v>
      </c>
      <c r="C50" s="143">
        <v>1320</v>
      </c>
      <c r="D50" s="143" t="s">
        <v>150</v>
      </c>
      <c r="E50" s="143" t="s">
        <v>44</v>
      </c>
      <c r="F50" s="175" t="s">
        <v>160</v>
      </c>
      <c r="G50" s="175" t="s">
        <v>161</v>
      </c>
      <c r="H50" s="175" t="s">
        <v>162</v>
      </c>
      <c r="I50" s="176"/>
      <c r="J50" s="177" t="s">
        <v>60</v>
      </c>
      <c r="K50" s="177" t="s">
        <v>48</v>
      </c>
      <c r="L50" s="178" t="s">
        <v>163</v>
      </c>
      <c r="M50" s="144" t="s">
        <v>164</v>
      </c>
      <c r="N50" s="237" t="str">
        <f t="shared" si="3"/>
        <v>Suministrar materiales de construcción, ferretería y plomería para las adecuaciones y mantenimientos que se realizan en las diferentes instalaciones de la Universidad Pedagógica Nacional.</v>
      </c>
      <c r="O50" s="153">
        <v>6</v>
      </c>
      <c r="P50" s="146">
        <v>7</v>
      </c>
      <c r="Q50" s="147">
        <v>5</v>
      </c>
      <c r="R50" s="148" t="s">
        <v>51</v>
      </c>
      <c r="S50" s="149" t="s">
        <v>165</v>
      </c>
      <c r="T50" s="150" t="s">
        <v>53</v>
      </c>
      <c r="U50" s="151">
        <f t="shared" si="1"/>
        <v>0</v>
      </c>
      <c r="V50" s="152">
        <f t="shared" si="2"/>
        <v>0</v>
      </c>
      <c r="W50" s="153" t="s">
        <v>54</v>
      </c>
      <c r="X50" s="153" t="s">
        <v>55</v>
      </c>
      <c r="Y50" s="154" t="s">
        <v>56</v>
      </c>
      <c r="Z50" s="155" t="s">
        <v>57</v>
      </c>
      <c r="AA50" s="156" t="s">
        <v>42</v>
      </c>
      <c r="AB50" s="157" t="s">
        <v>58</v>
      </c>
      <c r="AC50" s="158" t="s">
        <v>59</v>
      </c>
      <c r="AD50" s="153" t="s">
        <v>54</v>
      </c>
      <c r="AE50" s="153" t="s">
        <v>60</v>
      </c>
      <c r="AF50" s="159" t="s">
        <v>61</v>
      </c>
      <c r="AG50" s="159" t="s">
        <v>62</v>
      </c>
      <c r="AH50" s="159" t="s">
        <v>63</v>
      </c>
      <c r="AI50" s="159" t="s">
        <v>64</v>
      </c>
      <c r="AJ50" s="159" t="s">
        <v>64</v>
      </c>
      <c r="AK50" s="197" t="s">
        <v>64</v>
      </c>
    </row>
    <row r="51" spans="1:41" s="30" customFormat="1" ht="84.75" customHeight="1" thickBot="1" x14ac:dyDescent="0.25">
      <c r="A51" s="1"/>
      <c r="B51" s="196" t="s">
        <v>42</v>
      </c>
      <c r="C51" s="143">
        <v>1320</v>
      </c>
      <c r="D51" s="143" t="s">
        <v>150</v>
      </c>
      <c r="E51" s="143" t="s">
        <v>44</v>
      </c>
      <c r="F51" s="175" t="s">
        <v>111</v>
      </c>
      <c r="G51" s="175" t="s">
        <v>112</v>
      </c>
      <c r="H51" s="175" t="s">
        <v>162</v>
      </c>
      <c r="I51" s="176">
        <v>1836503</v>
      </c>
      <c r="J51" s="177" t="s">
        <v>60</v>
      </c>
      <c r="K51" s="177" t="s">
        <v>48</v>
      </c>
      <c r="L51" s="178" t="s">
        <v>163</v>
      </c>
      <c r="M51" s="144" t="s">
        <v>166</v>
      </c>
      <c r="N51" s="237"/>
      <c r="O51" s="153">
        <v>6</v>
      </c>
      <c r="P51" s="146">
        <v>7</v>
      </c>
      <c r="Q51" s="147">
        <v>5</v>
      </c>
      <c r="R51" s="148" t="s">
        <v>51</v>
      </c>
      <c r="S51" s="149" t="s">
        <v>167</v>
      </c>
      <c r="T51" s="150" t="s">
        <v>53</v>
      </c>
      <c r="U51" s="151">
        <f t="shared" si="1"/>
        <v>1836503</v>
      </c>
      <c r="V51" s="152">
        <f t="shared" si="2"/>
        <v>1836503</v>
      </c>
      <c r="W51" s="153" t="s">
        <v>54</v>
      </c>
      <c r="X51" s="153" t="s">
        <v>55</v>
      </c>
      <c r="Y51" s="154" t="s">
        <v>56</v>
      </c>
      <c r="Z51" s="155" t="s">
        <v>57</v>
      </c>
      <c r="AA51" s="156" t="s">
        <v>42</v>
      </c>
      <c r="AB51" s="157" t="s">
        <v>58</v>
      </c>
      <c r="AC51" s="158" t="s">
        <v>59</v>
      </c>
      <c r="AD51" s="153" t="s">
        <v>54</v>
      </c>
      <c r="AE51" s="153" t="s">
        <v>60</v>
      </c>
      <c r="AF51" s="159" t="s">
        <v>61</v>
      </c>
      <c r="AG51" s="159" t="s">
        <v>62</v>
      </c>
      <c r="AH51" s="159" t="s">
        <v>63</v>
      </c>
      <c r="AI51" s="159" t="s">
        <v>64</v>
      </c>
      <c r="AJ51" s="159" t="s">
        <v>64</v>
      </c>
      <c r="AK51" s="197" t="s">
        <v>64</v>
      </c>
      <c r="AL51" s="42"/>
      <c r="AM51" s="42"/>
      <c r="AN51" s="42"/>
      <c r="AO51" s="42"/>
    </row>
    <row r="52" spans="1:41" ht="84.75" customHeight="1" thickBot="1" x14ac:dyDescent="0.25">
      <c r="A52" s="1"/>
      <c r="B52" s="196" t="s">
        <v>42</v>
      </c>
      <c r="C52" s="143">
        <v>1320</v>
      </c>
      <c r="D52" s="143" t="s">
        <v>150</v>
      </c>
      <c r="E52" s="143" t="s">
        <v>44</v>
      </c>
      <c r="F52" s="175" t="s">
        <v>114</v>
      </c>
      <c r="G52" s="175" t="s">
        <v>115</v>
      </c>
      <c r="H52" s="175" t="s">
        <v>162</v>
      </c>
      <c r="I52" s="176"/>
      <c r="J52" s="177" t="s">
        <v>60</v>
      </c>
      <c r="K52" s="177" t="s">
        <v>48</v>
      </c>
      <c r="L52" s="178" t="s">
        <v>163</v>
      </c>
      <c r="M52" s="144" t="s">
        <v>168</v>
      </c>
      <c r="N52" s="237"/>
      <c r="O52" s="153">
        <v>6</v>
      </c>
      <c r="P52" s="146">
        <v>7</v>
      </c>
      <c r="Q52" s="147">
        <v>5</v>
      </c>
      <c r="R52" s="148" t="s">
        <v>51</v>
      </c>
      <c r="S52" s="149" t="s">
        <v>169</v>
      </c>
      <c r="T52" s="150" t="s">
        <v>53</v>
      </c>
      <c r="U52" s="151">
        <f t="shared" si="1"/>
        <v>0</v>
      </c>
      <c r="V52" s="152">
        <f t="shared" si="2"/>
        <v>0</v>
      </c>
      <c r="W52" s="153" t="s">
        <v>54</v>
      </c>
      <c r="X52" s="153" t="s">
        <v>55</v>
      </c>
      <c r="Y52" s="154" t="s">
        <v>56</v>
      </c>
      <c r="Z52" s="155" t="s">
        <v>57</v>
      </c>
      <c r="AA52" s="156" t="s">
        <v>42</v>
      </c>
      <c r="AB52" s="157" t="s">
        <v>58</v>
      </c>
      <c r="AC52" s="158" t="s">
        <v>59</v>
      </c>
      <c r="AD52" s="153" t="s">
        <v>54</v>
      </c>
      <c r="AE52" s="153" t="s">
        <v>60</v>
      </c>
      <c r="AF52" s="159" t="s">
        <v>61</v>
      </c>
      <c r="AG52" s="159" t="s">
        <v>62</v>
      </c>
      <c r="AH52" s="159" t="s">
        <v>63</v>
      </c>
      <c r="AI52" s="159" t="s">
        <v>64</v>
      </c>
      <c r="AJ52" s="159" t="s">
        <v>64</v>
      </c>
      <c r="AK52" s="197" t="s">
        <v>64</v>
      </c>
    </row>
    <row r="53" spans="1:41" ht="84.75" customHeight="1" thickBot="1" x14ac:dyDescent="0.25">
      <c r="A53" s="1"/>
      <c r="B53" s="196" t="s">
        <v>42</v>
      </c>
      <c r="C53" s="143">
        <v>1320</v>
      </c>
      <c r="D53" s="143" t="s">
        <v>150</v>
      </c>
      <c r="E53" s="143" t="s">
        <v>44</v>
      </c>
      <c r="F53" s="175" t="s">
        <v>114</v>
      </c>
      <c r="G53" s="175" t="s">
        <v>115</v>
      </c>
      <c r="H53" s="175" t="s">
        <v>170</v>
      </c>
      <c r="I53" s="176">
        <v>600000</v>
      </c>
      <c r="J53" s="177" t="s">
        <v>60</v>
      </c>
      <c r="K53" s="177" t="s">
        <v>48</v>
      </c>
      <c r="L53" s="178" t="s">
        <v>171</v>
      </c>
      <c r="M53" s="144" t="s">
        <v>172</v>
      </c>
      <c r="N53" s="237" t="str">
        <f>H53</f>
        <v>Suministrar  pinturas y materiales necesarios para realizar las labores de mantenimiento locativo en las diferentes instalaciones de la Universidad Pedagógica Nacional.</v>
      </c>
      <c r="O53" s="146">
        <v>1</v>
      </c>
      <c r="P53" s="146">
        <v>1</v>
      </c>
      <c r="Q53" s="147">
        <v>11</v>
      </c>
      <c r="R53" s="148" t="s">
        <v>51</v>
      </c>
      <c r="S53" s="149" t="s">
        <v>173</v>
      </c>
      <c r="T53" s="150" t="s">
        <v>53</v>
      </c>
      <c r="U53" s="151">
        <f t="shared" si="1"/>
        <v>600000</v>
      </c>
      <c r="V53" s="152">
        <f t="shared" si="2"/>
        <v>600000</v>
      </c>
      <c r="W53" s="153" t="s">
        <v>54</v>
      </c>
      <c r="X53" s="153" t="s">
        <v>55</v>
      </c>
      <c r="Y53" s="154" t="s">
        <v>56</v>
      </c>
      <c r="Z53" s="155" t="s">
        <v>57</v>
      </c>
      <c r="AA53" s="156" t="s">
        <v>42</v>
      </c>
      <c r="AB53" s="157" t="s">
        <v>58</v>
      </c>
      <c r="AC53" s="158" t="s">
        <v>59</v>
      </c>
      <c r="AD53" s="153" t="s">
        <v>54</v>
      </c>
      <c r="AE53" s="153" t="s">
        <v>60</v>
      </c>
      <c r="AF53" s="159" t="s">
        <v>61</v>
      </c>
      <c r="AG53" s="159" t="s">
        <v>62</v>
      </c>
      <c r="AH53" s="159" t="s">
        <v>63</v>
      </c>
      <c r="AI53" s="159" t="s">
        <v>64</v>
      </c>
      <c r="AJ53" s="159" t="s">
        <v>64</v>
      </c>
      <c r="AK53" s="197" t="s">
        <v>64</v>
      </c>
    </row>
    <row r="54" spans="1:41" s="30" customFormat="1" ht="84.75" customHeight="1" thickBot="1" x14ac:dyDescent="0.25">
      <c r="A54" s="1"/>
      <c r="B54" s="196" t="s">
        <v>42</v>
      </c>
      <c r="C54" s="143">
        <v>1320</v>
      </c>
      <c r="D54" s="143" t="s">
        <v>150</v>
      </c>
      <c r="E54" s="143" t="s">
        <v>44</v>
      </c>
      <c r="F54" s="175" t="s">
        <v>111</v>
      </c>
      <c r="G54" s="175" t="s">
        <v>112</v>
      </c>
      <c r="H54" s="175" t="s">
        <v>174</v>
      </c>
      <c r="I54" s="176">
        <v>72000000</v>
      </c>
      <c r="J54" s="177" t="s">
        <v>60</v>
      </c>
      <c r="K54" s="177" t="s">
        <v>48</v>
      </c>
      <c r="L54" s="178" t="s">
        <v>171</v>
      </c>
      <c r="M54" s="144" t="s">
        <v>172</v>
      </c>
      <c r="N54" s="237"/>
      <c r="O54" s="146">
        <v>1</v>
      </c>
      <c r="P54" s="146">
        <v>1</v>
      </c>
      <c r="Q54" s="147">
        <v>11</v>
      </c>
      <c r="R54" s="148" t="s">
        <v>51</v>
      </c>
      <c r="S54" s="149" t="s">
        <v>175</v>
      </c>
      <c r="T54" s="150" t="s">
        <v>53</v>
      </c>
      <c r="U54" s="151">
        <f t="shared" si="1"/>
        <v>72000000</v>
      </c>
      <c r="V54" s="152">
        <f t="shared" si="2"/>
        <v>72000000</v>
      </c>
      <c r="W54" s="153" t="s">
        <v>54</v>
      </c>
      <c r="X54" s="153" t="s">
        <v>55</v>
      </c>
      <c r="Y54" s="154" t="s">
        <v>56</v>
      </c>
      <c r="Z54" s="155" t="s">
        <v>57</v>
      </c>
      <c r="AA54" s="156" t="s">
        <v>42</v>
      </c>
      <c r="AB54" s="157" t="s">
        <v>58</v>
      </c>
      <c r="AC54" s="158" t="s">
        <v>59</v>
      </c>
      <c r="AD54" s="153" t="s">
        <v>54</v>
      </c>
      <c r="AE54" s="153" t="s">
        <v>60</v>
      </c>
      <c r="AF54" s="159" t="s">
        <v>61</v>
      </c>
      <c r="AG54" s="159" t="s">
        <v>62</v>
      </c>
      <c r="AH54" s="159" t="s">
        <v>63</v>
      </c>
      <c r="AI54" s="159" t="s">
        <v>64</v>
      </c>
      <c r="AJ54" s="159" t="s">
        <v>64</v>
      </c>
      <c r="AK54" s="197" t="s">
        <v>64</v>
      </c>
      <c r="AL54" s="42"/>
      <c r="AM54" s="42"/>
      <c r="AN54" s="42"/>
      <c r="AO54" s="42"/>
    </row>
    <row r="55" spans="1:41" ht="84.75" customHeight="1" thickBot="1" x14ac:dyDescent="0.25">
      <c r="A55" s="1"/>
      <c r="B55" s="196" t="s">
        <v>42</v>
      </c>
      <c r="C55" s="143">
        <v>1320</v>
      </c>
      <c r="D55" s="143" t="s">
        <v>150</v>
      </c>
      <c r="E55" s="143" t="s">
        <v>44</v>
      </c>
      <c r="F55" s="175" t="s">
        <v>128</v>
      </c>
      <c r="G55" s="175" t="s">
        <v>129</v>
      </c>
      <c r="H55" s="175" t="s">
        <v>176</v>
      </c>
      <c r="I55" s="176">
        <v>19173077</v>
      </c>
      <c r="J55" s="177" t="s">
        <v>60</v>
      </c>
      <c r="K55" s="177" t="s">
        <v>48</v>
      </c>
      <c r="L55" s="178" t="s">
        <v>177</v>
      </c>
      <c r="M55" s="238" t="s">
        <v>178</v>
      </c>
      <c r="N55" s="237" t="str">
        <f>H57</f>
        <v>Suministrar elementos de aseo y desinfección para los diferentes predios de la Universidad Pedagógica Nacional.</v>
      </c>
      <c r="O55" s="146">
        <v>1</v>
      </c>
      <c r="P55" s="146">
        <v>1</v>
      </c>
      <c r="Q55" s="147">
        <v>11</v>
      </c>
      <c r="R55" s="148" t="s">
        <v>51</v>
      </c>
      <c r="S55" s="149" t="s">
        <v>179</v>
      </c>
      <c r="T55" s="150" t="s">
        <v>53</v>
      </c>
      <c r="U55" s="151">
        <f t="shared" si="1"/>
        <v>19173077</v>
      </c>
      <c r="V55" s="152">
        <f t="shared" si="2"/>
        <v>19173077</v>
      </c>
      <c r="W55" s="153" t="s">
        <v>54</v>
      </c>
      <c r="X55" s="153" t="s">
        <v>55</v>
      </c>
      <c r="Y55" s="154" t="s">
        <v>56</v>
      </c>
      <c r="Z55" s="155" t="s">
        <v>57</v>
      </c>
      <c r="AA55" s="156" t="s">
        <v>42</v>
      </c>
      <c r="AB55" s="157" t="s">
        <v>58</v>
      </c>
      <c r="AC55" s="158" t="s">
        <v>59</v>
      </c>
      <c r="AD55" s="153" t="s">
        <v>54</v>
      </c>
      <c r="AE55" s="153" t="s">
        <v>60</v>
      </c>
      <c r="AF55" s="159" t="s">
        <v>61</v>
      </c>
      <c r="AG55" s="159" t="s">
        <v>62</v>
      </c>
      <c r="AH55" s="159" t="s">
        <v>63</v>
      </c>
      <c r="AI55" s="159" t="s">
        <v>64</v>
      </c>
      <c r="AJ55" s="159" t="s">
        <v>64</v>
      </c>
      <c r="AK55" s="197" t="s">
        <v>64</v>
      </c>
    </row>
    <row r="56" spans="1:41" ht="84.75" customHeight="1" thickBot="1" x14ac:dyDescent="0.25">
      <c r="A56" s="1"/>
      <c r="B56" s="196" t="s">
        <v>42</v>
      </c>
      <c r="C56" s="143">
        <v>1320</v>
      </c>
      <c r="D56" s="143" t="s">
        <v>150</v>
      </c>
      <c r="E56" s="143" t="s">
        <v>44</v>
      </c>
      <c r="F56" s="175" t="s">
        <v>111</v>
      </c>
      <c r="G56" s="175" t="s">
        <v>112</v>
      </c>
      <c r="H56" s="175" t="s">
        <v>176</v>
      </c>
      <c r="I56" s="176">
        <f>138629192- 27540347</f>
        <v>111088845</v>
      </c>
      <c r="J56" s="177" t="s">
        <v>60</v>
      </c>
      <c r="K56" s="177" t="s">
        <v>244</v>
      </c>
      <c r="L56" s="178" t="s">
        <v>177</v>
      </c>
      <c r="M56" s="238"/>
      <c r="N56" s="237"/>
      <c r="O56" s="146">
        <v>1</v>
      </c>
      <c r="P56" s="146">
        <v>1</v>
      </c>
      <c r="Q56" s="147">
        <v>11</v>
      </c>
      <c r="R56" s="148" t="s">
        <v>51</v>
      </c>
      <c r="S56" s="149" t="s">
        <v>180</v>
      </c>
      <c r="T56" s="150" t="s">
        <v>53</v>
      </c>
      <c r="U56" s="151">
        <f t="shared" si="1"/>
        <v>111088845</v>
      </c>
      <c r="V56" s="152">
        <f t="shared" si="2"/>
        <v>111088845</v>
      </c>
      <c r="W56" s="153" t="s">
        <v>54</v>
      </c>
      <c r="X56" s="153" t="s">
        <v>55</v>
      </c>
      <c r="Y56" s="154" t="s">
        <v>56</v>
      </c>
      <c r="Z56" s="155" t="s">
        <v>57</v>
      </c>
      <c r="AA56" s="156" t="s">
        <v>42</v>
      </c>
      <c r="AB56" s="157" t="s">
        <v>58</v>
      </c>
      <c r="AC56" s="158" t="s">
        <v>59</v>
      </c>
      <c r="AD56" s="153" t="s">
        <v>54</v>
      </c>
      <c r="AE56" s="153" t="s">
        <v>60</v>
      </c>
      <c r="AF56" s="159" t="s">
        <v>61</v>
      </c>
      <c r="AG56" s="159" t="s">
        <v>62</v>
      </c>
      <c r="AH56" s="159" t="s">
        <v>63</v>
      </c>
      <c r="AI56" s="159" t="s">
        <v>64</v>
      </c>
      <c r="AJ56" s="159" t="s">
        <v>64</v>
      </c>
      <c r="AK56" s="197" t="s">
        <v>64</v>
      </c>
    </row>
    <row r="57" spans="1:41" ht="84.75" customHeight="1" thickBot="1" x14ac:dyDescent="0.25">
      <c r="A57" s="1"/>
      <c r="B57" s="196" t="s">
        <v>42</v>
      </c>
      <c r="C57" s="143">
        <v>1320</v>
      </c>
      <c r="D57" s="143" t="s">
        <v>150</v>
      </c>
      <c r="E57" s="143" t="s">
        <v>44</v>
      </c>
      <c r="F57" s="175" t="s">
        <v>114</v>
      </c>
      <c r="G57" s="175" t="s">
        <v>115</v>
      </c>
      <c r="H57" s="175" t="s">
        <v>176</v>
      </c>
      <c r="I57" s="176">
        <v>7836000</v>
      </c>
      <c r="J57" s="177" t="s">
        <v>60</v>
      </c>
      <c r="K57" s="177" t="s">
        <v>244</v>
      </c>
      <c r="L57" s="178" t="s">
        <v>177</v>
      </c>
      <c r="M57" s="238"/>
      <c r="N57" s="237"/>
      <c r="O57" s="146">
        <v>1</v>
      </c>
      <c r="P57" s="146">
        <v>1</v>
      </c>
      <c r="Q57" s="147">
        <v>11</v>
      </c>
      <c r="R57" s="148" t="s">
        <v>51</v>
      </c>
      <c r="S57" s="149" t="s">
        <v>181</v>
      </c>
      <c r="T57" s="150" t="s">
        <v>53</v>
      </c>
      <c r="U57" s="151">
        <f t="shared" si="1"/>
        <v>7836000</v>
      </c>
      <c r="V57" s="152">
        <f t="shared" si="2"/>
        <v>7836000</v>
      </c>
      <c r="W57" s="153" t="s">
        <v>54</v>
      </c>
      <c r="X57" s="153" t="s">
        <v>55</v>
      </c>
      <c r="Y57" s="154" t="s">
        <v>56</v>
      </c>
      <c r="Z57" s="155" t="s">
        <v>57</v>
      </c>
      <c r="AA57" s="156" t="s">
        <v>42</v>
      </c>
      <c r="AB57" s="157" t="s">
        <v>58</v>
      </c>
      <c r="AC57" s="158" t="s">
        <v>59</v>
      </c>
      <c r="AD57" s="153" t="s">
        <v>54</v>
      </c>
      <c r="AE57" s="153" t="s">
        <v>60</v>
      </c>
      <c r="AF57" s="159" t="s">
        <v>61</v>
      </c>
      <c r="AG57" s="159" t="s">
        <v>62</v>
      </c>
      <c r="AH57" s="159" t="s">
        <v>63</v>
      </c>
      <c r="AI57" s="159" t="s">
        <v>64</v>
      </c>
      <c r="AJ57" s="159" t="s">
        <v>64</v>
      </c>
      <c r="AK57" s="197" t="s">
        <v>64</v>
      </c>
    </row>
    <row r="58" spans="1:41" s="30" customFormat="1" ht="84.75" customHeight="1" thickBot="1" x14ac:dyDescent="0.25">
      <c r="A58" s="1"/>
      <c r="B58" s="196" t="s">
        <v>42</v>
      </c>
      <c r="C58" s="143">
        <v>1320</v>
      </c>
      <c r="D58" s="143" t="s">
        <v>150</v>
      </c>
      <c r="E58" s="143" t="s">
        <v>44</v>
      </c>
      <c r="F58" s="175" t="s">
        <v>128</v>
      </c>
      <c r="G58" s="175" t="s">
        <v>129</v>
      </c>
      <c r="H58" s="175" t="s">
        <v>182</v>
      </c>
      <c r="I58" s="176">
        <f>295000000-(I342+I343+42189369)</f>
        <v>21410631</v>
      </c>
      <c r="J58" s="177" t="s">
        <v>60</v>
      </c>
      <c r="K58" s="177" t="s">
        <v>244</v>
      </c>
      <c r="L58" s="178" t="s">
        <v>183</v>
      </c>
      <c r="M58" s="143" t="s">
        <v>184</v>
      </c>
      <c r="N58" s="145" t="str">
        <f t="shared" ref="N58:N63" si="4">H58</f>
        <v>Adquirir la dotación para  los funcionarios  administrativos planta, provisionales y supernumerarios vigencia 2024</v>
      </c>
      <c r="O58" s="146">
        <v>1</v>
      </c>
      <c r="P58" s="146">
        <v>1</v>
      </c>
      <c r="Q58" s="147">
        <v>11</v>
      </c>
      <c r="R58" s="148" t="s">
        <v>51</v>
      </c>
      <c r="S58" s="149" t="s">
        <v>185</v>
      </c>
      <c r="T58" s="150" t="s">
        <v>53</v>
      </c>
      <c r="U58" s="151">
        <f t="shared" si="1"/>
        <v>21410631</v>
      </c>
      <c r="V58" s="152">
        <f t="shared" si="2"/>
        <v>21410631</v>
      </c>
      <c r="W58" s="153" t="s">
        <v>54</v>
      </c>
      <c r="X58" s="153" t="s">
        <v>55</v>
      </c>
      <c r="Y58" s="154" t="s">
        <v>56</v>
      </c>
      <c r="Z58" s="155" t="s">
        <v>57</v>
      </c>
      <c r="AA58" s="156" t="s">
        <v>42</v>
      </c>
      <c r="AB58" s="157" t="s">
        <v>58</v>
      </c>
      <c r="AC58" s="158" t="s">
        <v>59</v>
      </c>
      <c r="AD58" s="153" t="s">
        <v>54</v>
      </c>
      <c r="AE58" s="153" t="s">
        <v>60</v>
      </c>
      <c r="AF58" s="159" t="s">
        <v>61</v>
      </c>
      <c r="AG58" s="159" t="s">
        <v>62</v>
      </c>
      <c r="AH58" s="159" t="s">
        <v>63</v>
      </c>
      <c r="AI58" s="159" t="s">
        <v>64</v>
      </c>
      <c r="AJ58" s="159" t="s">
        <v>64</v>
      </c>
      <c r="AK58" s="197" t="s">
        <v>64</v>
      </c>
      <c r="AL58" s="42"/>
      <c r="AM58" s="42"/>
      <c r="AN58" s="42"/>
      <c r="AO58" s="42"/>
    </row>
    <row r="59" spans="1:41" s="8" customFormat="1" ht="84.75" customHeight="1" thickBot="1" x14ac:dyDescent="0.25">
      <c r="A59" s="1"/>
      <c r="B59" s="196" t="s">
        <v>42</v>
      </c>
      <c r="C59" s="143">
        <v>1320</v>
      </c>
      <c r="D59" s="143" t="s">
        <v>150</v>
      </c>
      <c r="E59" s="143" t="s">
        <v>44</v>
      </c>
      <c r="F59" s="175" t="s">
        <v>128</v>
      </c>
      <c r="G59" s="175" t="s">
        <v>129</v>
      </c>
      <c r="H59" s="175" t="s">
        <v>186</v>
      </c>
      <c r="I59" s="176">
        <v>132000000</v>
      </c>
      <c r="J59" s="177" t="s">
        <v>60</v>
      </c>
      <c r="K59" s="177" t="s">
        <v>48</v>
      </c>
      <c r="L59" s="178" t="s">
        <v>187</v>
      </c>
      <c r="M59" s="143" t="s">
        <v>188</v>
      </c>
      <c r="N59" s="145" t="str">
        <f t="shared" si="4"/>
        <v>Adquirir la dotación de confección para los trabajadores oficiales y personal que presta servicio en el área de restaurante vigencia 2024</v>
      </c>
      <c r="O59" s="146">
        <v>1</v>
      </c>
      <c r="P59" s="146">
        <v>1</v>
      </c>
      <c r="Q59" s="147">
        <v>11</v>
      </c>
      <c r="R59" s="148" t="s">
        <v>51</v>
      </c>
      <c r="S59" s="149" t="s">
        <v>189</v>
      </c>
      <c r="T59" s="150" t="s">
        <v>53</v>
      </c>
      <c r="U59" s="151">
        <f t="shared" si="1"/>
        <v>132000000</v>
      </c>
      <c r="V59" s="152">
        <f t="shared" si="2"/>
        <v>132000000</v>
      </c>
      <c r="W59" s="153" t="s">
        <v>54</v>
      </c>
      <c r="X59" s="153" t="s">
        <v>55</v>
      </c>
      <c r="Y59" s="154" t="s">
        <v>56</v>
      </c>
      <c r="Z59" s="155" t="s">
        <v>57</v>
      </c>
      <c r="AA59" s="156" t="s">
        <v>42</v>
      </c>
      <c r="AB59" s="157" t="s">
        <v>58</v>
      </c>
      <c r="AC59" s="158" t="s">
        <v>59</v>
      </c>
      <c r="AD59" s="153" t="s">
        <v>54</v>
      </c>
      <c r="AE59" s="153" t="s">
        <v>60</v>
      </c>
      <c r="AF59" s="159" t="s">
        <v>61</v>
      </c>
      <c r="AG59" s="159" t="s">
        <v>62</v>
      </c>
      <c r="AH59" s="159" t="s">
        <v>63</v>
      </c>
      <c r="AI59" s="159" t="s">
        <v>64</v>
      </c>
      <c r="AJ59" s="159" t="s">
        <v>64</v>
      </c>
      <c r="AK59" s="197" t="s">
        <v>64</v>
      </c>
      <c r="AL59" s="42"/>
      <c r="AM59" s="42"/>
      <c r="AN59" s="42"/>
      <c r="AO59" s="42"/>
    </row>
    <row r="60" spans="1:41" s="8" customFormat="1" ht="84.75" customHeight="1" thickBot="1" x14ac:dyDescent="0.25">
      <c r="A60" s="1"/>
      <c r="B60" s="196" t="s">
        <v>42</v>
      </c>
      <c r="C60" s="143">
        <v>1320</v>
      </c>
      <c r="D60" s="143" t="s">
        <v>150</v>
      </c>
      <c r="E60" s="143" t="s">
        <v>44</v>
      </c>
      <c r="F60" s="175" t="s">
        <v>128</v>
      </c>
      <c r="G60" s="175" t="s">
        <v>129</v>
      </c>
      <c r="H60" s="175" t="s">
        <v>190</v>
      </c>
      <c r="I60" s="176">
        <f>110000000-21000000</f>
        <v>89000000</v>
      </c>
      <c r="J60" s="177" t="s">
        <v>60</v>
      </c>
      <c r="K60" s="177" t="s">
        <v>48</v>
      </c>
      <c r="L60" s="178" t="s">
        <v>191</v>
      </c>
      <c r="M60" s="143" t="s">
        <v>192</v>
      </c>
      <c r="N60" s="145" t="str">
        <f t="shared" si="4"/>
        <v>Adquirir la dotación de calzado para los trabajadores oficiales y personal que presta servicio en el área de restaurante vigencia 2024</v>
      </c>
      <c r="O60" s="146">
        <v>1</v>
      </c>
      <c r="P60" s="146">
        <v>1</v>
      </c>
      <c r="Q60" s="147">
        <v>11</v>
      </c>
      <c r="R60" s="148" t="s">
        <v>51</v>
      </c>
      <c r="S60" s="149" t="s">
        <v>193</v>
      </c>
      <c r="T60" s="150" t="s">
        <v>53</v>
      </c>
      <c r="U60" s="151">
        <f t="shared" si="1"/>
        <v>89000000</v>
      </c>
      <c r="V60" s="152">
        <f t="shared" si="2"/>
        <v>89000000</v>
      </c>
      <c r="W60" s="153" t="s">
        <v>54</v>
      </c>
      <c r="X60" s="153" t="s">
        <v>55</v>
      </c>
      <c r="Y60" s="154" t="s">
        <v>56</v>
      </c>
      <c r="Z60" s="155" t="s">
        <v>57</v>
      </c>
      <c r="AA60" s="156" t="s">
        <v>42</v>
      </c>
      <c r="AB60" s="157" t="s">
        <v>58</v>
      </c>
      <c r="AC60" s="158" t="s">
        <v>59</v>
      </c>
      <c r="AD60" s="153" t="s">
        <v>54</v>
      </c>
      <c r="AE60" s="153" t="s">
        <v>60</v>
      </c>
      <c r="AF60" s="159" t="s">
        <v>61</v>
      </c>
      <c r="AG60" s="159" t="s">
        <v>62</v>
      </c>
      <c r="AH60" s="159" t="s">
        <v>63</v>
      </c>
      <c r="AI60" s="159" t="s">
        <v>64</v>
      </c>
      <c r="AJ60" s="159" t="s">
        <v>64</v>
      </c>
      <c r="AK60" s="197" t="s">
        <v>64</v>
      </c>
      <c r="AL60" s="42"/>
      <c r="AM60" s="42"/>
      <c r="AN60" s="42"/>
      <c r="AO60" s="42"/>
    </row>
    <row r="61" spans="1:41" s="30" customFormat="1" ht="84.75" customHeight="1" thickBot="1" x14ac:dyDescent="0.25">
      <c r="A61" s="1"/>
      <c r="B61" s="196" t="s">
        <v>42</v>
      </c>
      <c r="C61" s="143">
        <v>1320</v>
      </c>
      <c r="D61" s="143" t="s">
        <v>150</v>
      </c>
      <c r="E61" s="143" t="s">
        <v>44</v>
      </c>
      <c r="F61" s="175" t="s">
        <v>111</v>
      </c>
      <c r="G61" s="175" t="s">
        <v>112</v>
      </c>
      <c r="H61" s="175" t="s">
        <v>194</v>
      </c>
      <c r="I61" s="176">
        <v>122000000</v>
      </c>
      <c r="J61" s="177" t="s">
        <v>60</v>
      </c>
      <c r="K61" s="177" t="s">
        <v>48</v>
      </c>
      <c r="L61" s="178" t="s">
        <v>195</v>
      </c>
      <c r="M61" s="143" t="s">
        <v>196</v>
      </c>
      <c r="N61" s="237" t="str">
        <f>H62</f>
        <v>Adquirir la dotación de implementos de seguridad para los trabajadores oficiales y personal que presta servicio en el área de restaurante vigencia 2024.</v>
      </c>
      <c r="O61" s="146">
        <v>1</v>
      </c>
      <c r="P61" s="146">
        <v>1</v>
      </c>
      <c r="Q61" s="147">
        <v>11</v>
      </c>
      <c r="R61" s="148" t="s">
        <v>51</v>
      </c>
      <c r="S61" s="149" t="s">
        <v>197</v>
      </c>
      <c r="T61" s="150" t="s">
        <v>53</v>
      </c>
      <c r="U61" s="151">
        <f t="shared" si="1"/>
        <v>122000000</v>
      </c>
      <c r="V61" s="152">
        <f t="shared" si="2"/>
        <v>122000000</v>
      </c>
      <c r="W61" s="153" t="s">
        <v>54</v>
      </c>
      <c r="X61" s="153" t="s">
        <v>55</v>
      </c>
      <c r="Y61" s="154" t="s">
        <v>56</v>
      </c>
      <c r="Z61" s="155" t="s">
        <v>57</v>
      </c>
      <c r="AA61" s="156" t="s">
        <v>42</v>
      </c>
      <c r="AB61" s="157" t="s">
        <v>58</v>
      </c>
      <c r="AC61" s="158" t="s">
        <v>59</v>
      </c>
      <c r="AD61" s="153" t="s">
        <v>54</v>
      </c>
      <c r="AE61" s="153" t="s">
        <v>60</v>
      </c>
      <c r="AF61" s="159" t="s">
        <v>61</v>
      </c>
      <c r="AG61" s="159" t="s">
        <v>62</v>
      </c>
      <c r="AH61" s="159" t="s">
        <v>63</v>
      </c>
      <c r="AI61" s="159" t="s">
        <v>64</v>
      </c>
      <c r="AJ61" s="159" t="s">
        <v>64</v>
      </c>
      <c r="AK61" s="197" t="s">
        <v>64</v>
      </c>
      <c r="AL61" s="42"/>
      <c r="AM61" s="42"/>
      <c r="AN61" s="42"/>
      <c r="AO61" s="42"/>
    </row>
    <row r="62" spans="1:41" s="30" customFormat="1" ht="84.75" customHeight="1" thickBot="1" x14ac:dyDescent="0.25">
      <c r="A62" s="1"/>
      <c r="B62" s="196" t="s">
        <v>42</v>
      </c>
      <c r="C62" s="143">
        <v>1320</v>
      </c>
      <c r="D62" s="143" t="s">
        <v>150</v>
      </c>
      <c r="E62" s="143" t="s">
        <v>44</v>
      </c>
      <c r="F62" s="175" t="s">
        <v>128</v>
      </c>
      <c r="G62" s="175" t="s">
        <v>129</v>
      </c>
      <c r="H62" s="175" t="s">
        <v>194</v>
      </c>
      <c r="I62" s="176">
        <v>21000000</v>
      </c>
      <c r="J62" s="177" t="s">
        <v>60</v>
      </c>
      <c r="K62" s="177" t="s">
        <v>48</v>
      </c>
      <c r="L62" s="178" t="s">
        <v>195</v>
      </c>
      <c r="M62" s="143" t="s">
        <v>192</v>
      </c>
      <c r="N62" s="237"/>
      <c r="O62" s="146">
        <v>1</v>
      </c>
      <c r="P62" s="146">
        <v>1</v>
      </c>
      <c r="Q62" s="147">
        <v>11</v>
      </c>
      <c r="R62" s="148" t="s">
        <v>51</v>
      </c>
      <c r="S62" s="149" t="s">
        <v>197</v>
      </c>
      <c r="T62" s="150" t="s">
        <v>53</v>
      </c>
      <c r="U62" s="151">
        <f t="shared" si="1"/>
        <v>21000000</v>
      </c>
      <c r="V62" s="152">
        <f t="shared" si="2"/>
        <v>21000000</v>
      </c>
      <c r="W62" s="153" t="s">
        <v>54</v>
      </c>
      <c r="X62" s="153" t="s">
        <v>55</v>
      </c>
      <c r="Y62" s="154" t="s">
        <v>56</v>
      </c>
      <c r="Z62" s="155" t="s">
        <v>57</v>
      </c>
      <c r="AA62" s="156" t="s">
        <v>42</v>
      </c>
      <c r="AB62" s="157" t="s">
        <v>58</v>
      </c>
      <c r="AC62" s="158" t="s">
        <v>59</v>
      </c>
      <c r="AD62" s="153" t="s">
        <v>54</v>
      </c>
      <c r="AE62" s="153" t="s">
        <v>60</v>
      </c>
      <c r="AF62" s="159" t="s">
        <v>61</v>
      </c>
      <c r="AG62" s="159" t="s">
        <v>62</v>
      </c>
      <c r="AH62" s="159" t="s">
        <v>63</v>
      </c>
      <c r="AI62" s="159" t="s">
        <v>64</v>
      </c>
      <c r="AJ62" s="159" t="s">
        <v>64</v>
      </c>
      <c r="AK62" s="197" t="s">
        <v>64</v>
      </c>
      <c r="AL62" s="42"/>
      <c r="AM62" s="42"/>
      <c r="AN62" s="42"/>
      <c r="AO62" s="42"/>
    </row>
    <row r="63" spans="1:41" ht="84.75" customHeight="1" thickBot="1" x14ac:dyDescent="0.25">
      <c r="A63" s="1"/>
      <c r="B63" s="196" t="s">
        <v>42</v>
      </c>
      <c r="C63" s="143">
        <v>1320</v>
      </c>
      <c r="D63" s="143" t="s">
        <v>150</v>
      </c>
      <c r="E63" s="143" t="s">
        <v>44</v>
      </c>
      <c r="F63" s="175" t="s">
        <v>128</v>
      </c>
      <c r="G63" s="175" t="s">
        <v>129</v>
      </c>
      <c r="H63" s="175" t="s">
        <v>198</v>
      </c>
      <c r="I63" s="176">
        <v>122094280</v>
      </c>
      <c r="J63" s="177" t="s">
        <v>60</v>
      </c>
      <c r="K63" s="177" t="s">
        <v>48</v>
      </c>
      <c r="L63" s="178" t="s">
        <v>199</v>
      </c>
      <c r="M63" s="143" t="s">
        <v>200</v>
      </c>
      <c r="N63" s="237" t="str">
        <f t="shared" si="4"/>
        <v>Suministrar elementos e insumos de cafetería para los diferentes predios de la Universidad Pedagógica Nacional.</v>
      </c>
      <c r="O63" s="146">
        <v>1</v>
      </c>
      <c r="P63" s="146">
        <v>1</v>
      </c>
      <c r="Q63" s="147">
        <v>11</v>
      </c>
      <c r="R63" s="148" t="s">
        <v>51</v>
      </c>
      <c r="S63" s="149" t="s">
        <v>201</v>
      </c>
      <c r="T63" s="150" t="s">
        <v>53</v>
      </c>
      <c r="U63" s="151">
        <f t="shared" si="1"/>
        <v>122094280</v>
      </c>
      <c r="V63" s="152">
        <f t="shared" si="2"/>
        <v>122094280</v>
      </c>
      <c r="W63" s="153" t="s">
        <v>54</v>
      </c>
      <c r="X63" s="153" t="s">
        <v>55</v>
      </c>
      <c r="Y63" s="154" t="s">
        <v>56</v>
      </c>
      <c r="Z63" s="155" t="s">
        <v>57</v>
      </c>
      <c r="AA63" s="156" t="s">
        <v>42</v>
      </c>
      <c r="AB63" s="157" t="s">
        <v>58</v>
      </c>
      <c r="AC63" s="158" t="s">
        <v>59</v>
      </c>
      <c r="AD63" s="153" t="s">
        <v>54</v>
      </c>
      <c r="AE63" s="153" t="s">
        <v>60</v>
      </c>
      <c r="AF63" s="159" t="s">
        <v>61</v>
      </c>
      <c r="AG63" s="159" t="s">
        <v>62</v>
      </c>
      <c r="AH63" s="159" t="s">
        <v>63</v>
      </c>
      <c r="AI63" s="159" t="s">
        <v>64</v>
      </c>
      <c r="AJ63" s="159" t="s">
        <v>64</v>
      </c>
      <c r="AK63" s="197" t="s">
        <v>64</v>
      </c>
    </row>
    <row r="64" spans="1:41" ht="84.75" customHeight="1" thickBot="1" x14ac:dyDescent="0.25">
      <c r="A64" s="1"/>
      <c r="B64" s="196" t="s">
        <v>42</v>
      </c>
      <c r="C64" s="143">
        <v>1320</v>
      </c>
      <c r="D64" s="143" t="s">
        <v>150</v>
      </c>
      <c r="E64" s="143" t="s">
        <v>44</v>
      </c>
      <c r="F64" s="175" t="s">
        <v>111</v>
      </c>
      <c r="G64" s="175" t="s">
        <v>112</v>
      </c>
      <c r="H64" s="175" t="s">
        <v>198</v>
      </c>
      <c r="I64" s="176">
        <v>22134209</v>
      </c>
      <c r="J64" s="177" t="s">
        <v>60</v>
      </c>
      <c r="K64" s="177" t="s">
        <v>48</v>
      </c>
      <c r="L64" s="178" t="s">
        <v>199</v>
      </c>
      <c r="M64" s="143" t="s">
        <v>200</v>
      </c>
      <c r="N64" s="237"/>
      <c r="O64" s="146">
        <v>1</v>
      </c>
      <c r="P64" s="146">
        <v>1</v>
      </c>
      <c r="Q64" s="147">
        <v>11</v>
      </c>
      <c r="R64" s="148" t="s">
        <v>51</v>
      </c>
      <c r="S64" s="149" t="s">
        <v>202</v>
      </c>
      <c r="T64" s="150" t="s">
        <v>53</v>
      </c>
      <c r="U64" s="151">
        <f t="shared" si="1"/>
        <v>22134209</v>
      </c>
      <c r="V64" s="152">
        <f t="shared" si="2"/>
        <v>22134209</v>
      </c>
      <c r="W64" s="153" t="s">
        <v>54</v>
      </c>
      <c r="X64" s="153" t="s">
        <v>55</v>
      </c>
      <c r="Y64" s="154" t="s">
        <v>56</v>
      </c>
      <c r="Z64" s="155" t="s">
        <v>57</v>
      </c>
      <c r="AA64" s="156" t="s">
        <v>42</v>
      </c>
      <c r="AB64" s="157" t="s">
        <v>58</v>
      </c>
      <c r="AC64" s="158" t="s">
        <v>59</v>
      </c>
      <c r="AD64" s="153" t="s">
        <v>54</v>
      </c>
      <c r="AE64" s="153" t="s">
        <v>60</v>
      </c>
      <c r="AF64" s="159" t="s">
        <v>61</v>
      </c>
      <c r="AG64" s="159" t="s">
        <v>62</v>
      </c>
      <c r="AH64" s="159" t="s">
        <v>63</v>
      </c>
      <c r="AI64" s="159" t="s">
        <v>64</v>
      </c>
      <c r="AJ64" s="159" t="s">
        <v>64</v>
      </c>
      <c r="AK64" s="197" t="s">
        <v>64</v>
      </c>
    </row>
    <row r="65" spans="1:41" ht="84.75" customHeight="1" thickBot="1" x14ac:dyDescent="0.25">
      <c r="A65" s="1"/>
      <c r="B65" s="196" t="s">
        <v>42</v>
      </c>
      <c r="C65" s="143">
        <v>1510</v>
      </c>
      <c r="D65" s="143" t="s">
        <v>203</v>
      </c>
      <c r="E65" s="143" t="s">
        <v>204</v>
      </c>
      <c r="F65" s="175" t="s">
        <v>128</v>
      </c>
      <c r="G65" s="175" t="s">
        <v>129</v>
      </c>
      <c r="H65" s="175" t="s">
        <v>205</v>
      </c>
      <c r="I65" s="176">
        <f>91728000+10922772-(72194150)</f>
        <v>30456622</v>
      </c>
      <c r="J65" s="177" t="s">
        <v>60</v>
      </c>
      <c r="K65" s="177" t="s">
        <v>48</v>
      </c>
      <c r="L65" s="178" t="s">
        <v>206</v>
      </c>
      <c r="M65" s="143" t="s">
        <v>207</v>
      </c>
      <c r="N65" s="239" t="s">
        <v>205</v>
      </c>
      <c r="O65" s="153">
        <v>8</v>
      </c>
      <c r="P65" s="146">
        <v>9</v>
      </c>
      <c r="Q65" s="147">
        <v>4</v>
      </c>
      <c r="R65" s="148" t="s">
        <v>51</v>
      </c>
      <c r="S65" s="149" t="s">
        <v>208</v>
      </c>
      <c r="T65" s="150" t="s">
        <v>53</v>
      </c>
      <c r="U65" s="151">
        <f t="shared" si="1"/>
        <v>30456622</v>
      </c>
      <c r="V65" s="152">
        <f t="shared" si="2"/>
        <v>30456622</v>
      </c>
      <c r="W65" s="153" t="s">
        <v>54</v>
      </c>
      <c r="X65" s="153" t="s">
        <v>55</v>
      </c>
      <c r="Y65" s="154" t="s">
        <v>56</v>
      </c>
      <c r="Z65" s="155" t="s">
        <v>57</v>
      </c>
      <c r="AA65" s="156" t="s">
        <v>42</v>
      </c>
      <c r="AB65" s="157" t="s">
        <v>58</v>
      </c>
      <c r="AC65" s="158" t="s">
        <v>59</v>
      </c>
      <c r="AD65" s="153" t="s">
        <v>54</v>
      </c>
      <c r="AE65" s="153" t="s">
        <v>60</v>
      </c>
      <c r="AF65" s="159" t="s">
        <v>61</v>
      </c>
      <c r="AG65" s="159" t="s">
        <v>62</v>
      </c>
      <c r="AH65" s="159" t="s">
        <v>63</v>
      </c>
      <c r="AI65" s="159" t="s">
        <v>64</v>
      </c>
      <c r="AJ65" s="159" t="s">
        <v>64</v>
      </c>
      <c r="AK65" s="197" t="s">
        <v>64</v>
      </c>
    </row>
    <row r="66" spans="1:41" ht="84.75" customHeight="1" thickBot="1" x14ac:dyDescent="0.25">
      <c r="A66" s="1"/>
      <c r="B66" s="196" t="s">
        <v>42</v>
      </c>
      <c r="C66" s="143">
        <v>1510</v>
      </c>
      <c r="D66" s="143" t="s">
        <v>203</v>
      </c>
      <c r="E66" s="143" t="s">
        <v>204</v>
      </c>
      <c r="F66" s="175" t="s">
        <v>114</v>
      </c>
      <c r="G66" s="175" t="s">
        <v>115</v>
      </c>
      <c r="H66" s="175" t="s">
        <v>205</v>
      </c>
      <c r="I66" s="176">
        <f>8376623-4411543</f>
        <v>3965080</v>
      </c>
      <c r="J66" s="177" t="s">
        <v>60</v>
      </c>
      <c r="K66" s="177" t="s">
        <v>48</v>
      </c>
      <c r="L66" s="178" t="s">
        <v>206</v>
      </c>
      <c r="M66" s="143" t="s">
        <v>209</v>
      </c>
      <c r="N66" s="239"/>
      <c r="O66" s="153">
        <v>8</v>
      </c>
      <c r="P66" s="146">
        <v>9</v>
      </c>
      <c r="Q66" s="147">
        <v>4</v>
      </c>
      <c r="R66" s="148" t="s">
        <v>51</v>
      </c>
      <c r="S66" s="149" t="s">
        <v>210</v>
      </c>
      <c r="T66" s="150" t="s">
        <v>53</v>
      </c>
      <c r="U66" s="151">
        <f t="shared" si="1"/>
        <v>3965080</v>
      </c>
      <c r="V66" s="152">
        <f t="shared" si="2"/>
        <v>3965080</v>
      </c>
      <c r="W66" s="153" t="s">
        <v>54</v>
      </c>
      <c r="X66" s="153" t="s">
        <v>55</v>
      </c>
      <c r="Y66" s="154" t="s">
        <v>56</v>
      </c>
      <c r="Z66" s="155" t="s">
        <v>57</v>
      </c>
      <c r="AA66" s="156" t="s">
        <v>42</v>
      </c>
      <c r="AB66" s="157" t="s">
        <v>58</v>
      </c>
      <c r="AC66" s="158" t="s">
        <v>59</v>
      </c>
      <c r="AD66" s="153" t="s">
        <v>54</v>
      </c>
      <c r="AE66" s="153" t="s">
        <v>60</v>
      </c>
      <c r="AF66" s="159" t="s">
        <v>61</v>
      </c>
      <c r="AG66" s="159" t="s">
        <v>62</v>
      </c>
      <c r="AH66" s="159" t="s">
        <v>63</v>
      </c>
      <c r="AI66" s="159" t="s">
        <v>64</v>
      </c>
      <c r="AJ66" s="159" t="s">
        <v>64</v>
      </c>
      <c r="AK66" s="197" t="s">
        <v>64</v>
      </c>
    </row>
    <row r="67" spans="1:41" ht="84.75" customHeight="1" thickBot="1" x14ac:dyDescent="0.25">
      <c r="A67" s="1"/>
      <c r="B67" s="196" t="s">
        <v>42</v>
      </c>
      <c r="C67" s="143">
        <v>1510</v>
      </c>
      <c r="D67" s="143" t="s">
        <v>203</v>
      </c>
      <c r="E67" s="143" t="s">
        <v>204</v>
      </c>
      <c r="F67" s="175" t="s">
        <v>111</v>
      </c>
      <c r="G67" s="175" t="s">
        <v>112</v>
      </c>
      <c r="H67" s="175" t="s">
        <v>205</v>
      </c>
      <c r="I67" s="176">
        <f>55692000+14599515-(10922772)</f>
        <v>59368743</v>
      </c>
      <c r="J67" s="177" t="s">
        <v>60</v>
      </c>
      <c r="K67" s="177" t="s">
        <v>48</v>
      </c>
      <c r="L67" s="178" t="s">
        <v>206</v>
      </c>
      <c r="M67" s="143" t="s">
        <v>211</v>
      </c>
      <c r="N67" s="239"/>
      <c r="O67" s="153">
        <v>8</v>
      </c>
      <c r="P67" s="146">
        <v>9</v>
      </c>
      <c r="Q67" s="147">
        <v>4</v>
      </c>
      <c r="R67" s="148" t="s">
        <v>51</v>
      </c>
      <c r="S67" s="149" t="s">
        <v>212</v>
      </c>
      <c r="T67" s="150" t="s">
        <v>53</v>
      </c>
      <c r="U67" s="151">
        <f t="shared" si="1"/>
        <v>59368743</v>
      </c>
      <c r="V67" s="152">
        <f t="shared" si="2"/>
        <v>59368743</v>
      </c>
      <c r="W67" s="153" t="s">
        <v>54</v>
      </c>
      <c r="X67" s="153" t="s">
        <v>55</v>
      </c>
      <c r="Y67" s="154" t="s">
        <v>56</v>
      </c>
      <c r="Z67" s="155" t="s">
        <v>57</v>
      </c>
      <c r="AA67" s="156" t="s">
        <v>42</v>
      </c>
      <c r="AB67" s="157" t="s">
        <v>58</v>
      </c>
      <c r="AC67" s="158" t="s">
        <v>59</v>
      </c>
      <c r="AD67" s="153" t="s">
        <v>54</v>
      </c>
      <c r="AE67" s="153" t="s">
        <v>60</v>
      </c>
      <c r="AF67" s="159" t="s">
        <v>61</v>
      </c>
      <c r="AG67" s="159" t="s">
        <v>62</v>
      </c>
      <c r="AH67" s="159" t="s">
        <v>63</v>
      </c>
      <c r="AI67" s="159" t="s">
        <v>64</v>
      </c>
      <c r="AJ67" s="159" t="s">
        <v>64</v>
      </c>
      <c r="AK67" s="197" t="s">
        <v>64</v>
      </c>
    </row>
    <row r="68" spans="1:41" ht="84.75" customHeight="1" thickBot="1" x14ac:dyDescent="0.25">
      <c r="A68" s="1"/>
      <c r="B68" s="196" t="s">
        <v>42</v>
      </c>
      <c r="C68" s="143">
        <v>1320</v>
      </c>
      <c r="D68" s="143" t="s">
        <v>150</v>
      </c>
      <c r="E68" s="143" t="s">
        <v>44</v>
      </c>
      <c r="F68" s="175" t="s">
        <v>111</v>
      </c>
      <c r="G68" s="175" t="s">
        <v>112</v>
      </c>
      <c r="H68" s="175" t="s">
        <v>213</v>
      </c>
      <c r="I68" s="176">
        <v>27000000</v>
      </c>
      <c r="J68" s="177" t="s">
        <v>60</v>
      </c>
      <c r="K68" s="177" t="s">
        <v>48</v>
      </c>
      <c r="L68" s="178" t="s">
        <v>214</v>
      </c>
      <c r="M68" s="143" t="s">
        <v>215</v>
      </c>
      <c r="N68" s="145" t="str">
        <f>H68</f>
        <v>Adquirir químicos e insumos para el mantenimiento y limpieza de la piscina de Calle 72 de la Universidad Pedagógica Nacional</v>
      </c>
      <c r="O68" s="146">
        <v>1</v>
      </c>
      <c r="P68" s="146">
        <v>1</v>
      </c>
      <c r="Q68" s="147">
        <v>11</v>
      </c>
      <c r="R68" s="148" t="s">
        <v>51</v>
      </c>
      <c r="S68" s="149" t="s">
        <v>216</v>
      </c>
      <c r="T68" s="150" t="s">
        <v>53</v>
      </c>
      <c r="U68" s="151">
        <f t="shared" si="1"/>
        <v>27000000</v>
      </c>
      <c r="V68" s="152">
        <f t="shared" si="2"/>
        <v>27000000</v>
      </c>
      <c r="W68" s="153" t="s">
        <v>54</v>
      </c>
      <c r="X68" s="153" t="s">
        <v>55</v>
      </c>
      <c r="Y68" s="154" t="s">
        <v>56</v>
      </c>
      <c r="Z68" s="155" t="s">
        <v>57</v>
      </c>
      <c r="AA68" s="156" t="s">
        <v>42</v>
      </c>
      <c r="AB68" s="157" t="s">
        <v>58</v>
      </c>
      <c r="AC68" s="158" t="s">
        <v>59</v>
      </c>
      <c r="AD68" s="153" t="s">
        <v>54</v>
      </c>
      <c r="AE68" s="153" t="s">
        <v>60</v>
      </c>
      <c r="AF68" s="159" t="s">
        <v>61</v>
      </c>
      <c r="AG68" s="159" t="s">
        <v>62</v>
      </c>
      <c r="AH68" s="159" t="s">
        <v>63</v>
      </c>
      <c r="AI68" s="159" t="s">
        <v>64</v>
      </c>
      <c r="AJ68" s="159" t="s">
        <v>64</v>
      </c>
      <c r="AK68" s="197" t="s">
        <v>64</v>
      </c>
    </row>
    <row r="69" spans="1:41" ht="84.75" customHeight="1" thickBot="1" x14ac:dyDescent="0.25">
      <c r="A69" s="1"/>
      <c r="B69" s="196" t="s">
        <v>42</v>
      </c>
      <c r="C69" s="143">
        <v>1320</v>
      </c>
      <c r="D69" s="143" t="s">
        <v>150</v>
      </c>
      <c r="E69" s="143" t="s">
        <v>44</v>
      </c>
      <c r="F69" s="175" t="s">
        <v>111</v>
      </c>
      <c r="G69" s="175" t="s">
        <v>112</v>
      </c>
      <c r="H69" s="175" t="s">
        <v>217</v>
      </c>
      <c r="I69" s="176">
        <v>5000000</v>
      </c>
      <c r="J69" s="177" t="s">
        <v>60</v>
      </c>
      <c r="K69" s="177" t="s">
        <v>48</v>
      </c>
      <c r="L69" s="178" t="s">
        <v>218</v>
      </c>
      <c r="M69" s="143" t="s">
        <v>219</v>
      </c>
      <c r="N69" s="145" t="str">
        <f>H69</f>
        <v>Adquirir el boiler fosfato para evitar incrustaciones en la caldera de la UPN.</v>
      </c>
      <c r="O69" s="146">
        <v>1</v>
      </c>
      <c r="P69" s="146">
        <v>1</v>
      </c>
      <c r="Q69" s="147">
        <v>11</v>
      </c>
      <c r="R69" s="148" t="s">
        <v>51</v>
      </c>
      <c r="S69" s="149" t="s">
        <v>220</v>
      </c>
      <c r="T69" s="150" t="s">
        <v>53</v>
      </c>
      <c r="U69" s="151">
        <f t="shared" si="1"/>
        <v>5000000</v>
      </c>
      <c r="V69" s="152">
        <f t="shared" si="2"/>
        <v>5000000</v>
      </c>
      <c r="W69" s="153" t="s">
        <v>54</v>
      </c>
      <c r="X69" s="153" t="s">
        <v>55</v>
      </c>
      <c r="Y69" s="154" t="s">
        <v>56</v>
      </c>
      <c r="Z69" s="155" t="s">
        <v>57</v>
      </c>
      <c r="AA69" s="156" t="s">
        <v>42</v>
      </c>
      <c r="AB69" s="157" t="s">
        <v>58</v>
      </c>
      <c r="AC69" s="158" t="s">
        <v>59</v>
      </c>
      <c r="AD69" s="153" t="s">
        <v>54</v>
      </c>
      <c r="AE69" s="153" t="s">
        <v>60</v>
      </c>
      <c r="AF69" s="159" t="s">
        <v>61</v>
      </c>
      <c r="AG69" s="159" t="s">
        <v>62</v>
      </c>
      <c r="AH69" s="159" t="s">
        <v>63</v>
      </c>
      <c r="AI69" s="159" t="s">
        <v>64</v>
      </c>
      <c r="AJ69" s="159" t="s">
        <v>64</v>
      </c>
      <c r="AK69" s="197" t="s">
        <v>64</v>
      </c>
    </row>
    <row r="70" spans="1:41" ht="84.75" customHeight="1" thickBot="1" x14ac:dyDescent="0.25">
      <c r="A70" s="1"/>
      <c r="B70" s="196" t="s">
        <v>42</v>
      </c>
      <c r="C70" s="143">
        <v>1320</v>
      </c>
      <c r="D70" s="143" t="s">
        <v>150</v>
      </c>
      <c r="E70" s="143" t="s">
        <v>44</v>
      </c>
      <c r="F70" s="175" t="s">
        <v>111</v>
      </c>
      <c r="G70" s="175" t="s">
        <v>112</v>
      </c>
      <c r="H70" s="175" t="s">
        <v>221</v>
      </c>
      <c r="I70" s="176">
        <v>25000000</v>
      </c>
      <c r="J70" s="177" t="s">
        <v>60</v>
      </c>
      <c r="K70" s="177" t="s">
        <v>48</v>
      </c>
      <c r="L70" s="178" t="s">
        <v>222</v>
      </c>
      <c r="M70" s="143" t="s">
        <v>223</v>
      </c>
      <c r="N70" s="160" t="str">
        <f>H70</f>
        <v>Suministrar materiales eléctricos para adecuaciones y mantenimientos que se realizan en las diferentes instalaciones de la Universidad Pedagógica Nacional.</v>
      </c>
      <c r="O70" s="146">
        <v>1</v>
      </c>
      <c r="P70" s="146">
        <v>1</v>
      </c>
      <c r="Q70" s="147">
        <v>11</v>
      </c>
      <c r="R70" s="148" t="s">
        <v>51</v>
      </c>
      <c r="S70" s="149" t="s">
        <v>224</v>
      </c>
      <c r="T70" s="150" t="s">
        <v>53</v>
      </c>
      <c r="U70" s="151">
        <f t="shared" si="1"/>
        <v>25000000</v>
      </c>
      <c r="V70" s="152">
        <f t="shared" si="2"/>
        <v>25000000</v>
      </c>
      <c r="W70" s="153" t="s">
        <v>54</v>
      </c>
      <c r="X70" s="153" t="s">
        <v>55</v>
      </c>
      <c r="Y70" s="154" t="s">
        <v>56</v>
      </c>
      <c r="Z70" s="155" t="s">
        <v>57</v>
      </c>
      <c r="AA70" s="156" t="s">
        <v>42</v>
      </c>
      <c r="AB70" s="157" t="s">
        <v>58</v>
      </c>
      <c r="AC70" s="158" t="s">
        <v>59</v>
      </c>
      <c r="AD70" s="153" t="s">
        <v>54</v>
      </c>
      <c r="AE70" s="153" t="s">
        <v>60</v>
      </c>
      <c r="AF70" s="159" t="s">
        <v>61</v>
      </c>
      <c r="AG70" s="159" t="s">
        <v>62</v>
      </c>
      <c r="AH70" s="159" t="s">
        <v>63</v>
      </c>
      <c r="AI70" s="159" t="s">
        <v>64</v>
      </c>
      <c r="AJ70" s="159" t="s">
        <v>64</v>
      </c>
      <c r="AK70" s="197" t="s">
        <v>64</v>
      </c>
    </row>
    <row r="71" spans="1:41" s="30" customFormat="1" ht="84.75" customHeight="1" thickBot="1" x14ac:dyDescent="0.25">
      <c r="A71" s="1"/>
      <c r="B71" s="196" t="s">
        <v>42</v>
      </c>
      <c r="C71" s="143">
        <v>1320</v>
      </c>
      <c r="D71" s="143" t="s">
        <v>150</v>
      </c>
      <c r="E71" s="143" t="s">
        <v>44</v>
      </c>
      <c r="F71" s="175" t="s">
        <v>114</v>
      </c>
      <c r="G71" s="175" t="s">
        <v>115</v>
      </c>
      <c r="H71" s="175" t="s">
        <v>221</v>
      </c>
      <c r="I71" s="176">
        <f>150000000-(45000000+25000000)</f>
        <v>80000000</v>
      </c>
      <c r="J71" s="177" t="s">
        <v>60</v>
      </c>
      <c r="K71" s="177" t="s">
        <v>48</v>
      </c>
      <c r="L71" s="178" t="s">
        <v>222</v>
      </c>
      <c r="M71" s="143" t="s">
        <v>225</v>
      </c>
      <c r="N71" s="160"/>
      <c r="O71" s="146">
        <v>1</v>
      </c>
      <c r="P71" s="146">
        <v>1</v>
      </c>
      <c r="Q71" s="147">
        <v>11</v>
      </c>
      <c r="R71" s="148" t="s">
        <v>51</v>
      </c>
      <c r="S71" s="149" t="s">
        <v>226</v>
      </c>
      <c r="T71" s="150" t="s">
        <v>53</v>
      </c>
      <c r="U71" s="151">
        <f t="shared" si="1"/>
        <v>80000000</v>
      </c>
      <c r="V71" s="152">
        <f t="shared" si="2"/>
        <v>80000000</v>
      </c>
      <c r="W71" s="153" t="s">
        <v>54</v>
      </c>
      <c r="X71" s="153" t="s">
        <v>55</v>
      </c>
      <c r="Y71" s="154" t="s">
        <v>56</v>
      </c>
      <c r="Z71" s="155" t="s">
        <v>57</v>
      </c>
      <c r="AA71" s="156" t="s">
        <v>42</v>
      </c>
      <c r="AB71" s="157" t="s">
        <v>58</v>
      </c>
      <c r="AC71" s="158" t="s">
        <v>59</v>
      </c>
      <c r="AD71" s="153" t="s">
        <v>54</v>
      </c>
      <c r="AE71" s="153" t="s">
        <v>60</v>
      </c>
      <c r="AF71" s="159" t="s">
        <v>61</v>
      </c>
      <c r="AG71" s="159" t="s">
        <v>62</v>
      </c>
      <c r="AH71" s="159" t="s">
        <v>63</v>
      </c>
      <c r="AI71" s="159" t="s">
        <v>64</v>
      </c>
      <c r="AJ71" s="159" t="s">
        <v>64</v>
      </c>
      <c r="AK71" s="197" t="s">
        <v>64</v>
      </c>
      <c r="AL71" s="42"/>
      <c r="AM71" s="42"/>
      <c r="AN71" s="42"/>
      <c r="AO71" s="42"/>
    </row>
    <row r="72" spans="1:41" s="30" customFormat="1" ht="84.75" customHeight="1" thickBot="1" x14ac:dyDescent="0.25">
      <c r="A72" s="1"/>
      <c r="B72" s="196" t="s">
        <v>42</v>
      </c>
      <c r="C72" s="143">
        <v>1320</v>
      </c>
      <c r="D72" s="143" t="s">
        <v>150</v>
      </c>
      <c r="E72" s="143" t="s">
        <v>44</v>
      </c>
      <c r="F72" s="175" t="s">
        <v>111</v>
      </c>
      <c r="G72" s="175" t="s">
        <v>112</v>
      </c>
      <c r="H72" s="175" t="s">
        <v>227</v>
      </c>
      <c r="I72" s="176">
        <v>120000000</v>
      </c>
      <c r="J72" s="177" t="s">
        <v>60</v>
      </c>
      <c r="K72" s="177" t="s">
        <v>48</v>
      </c>
      <c r="L72" s="178" t="s">
        <v>228</v>
      </c>
      <c r="M72" s="143">
        <v>15101500</v>
      </c>
      <c r="N72" s="145" t="str">
        <f t="shared" ref="N72:N78" si="5">H72</f>
        <v>Suministrar combustible (GASOLINA Y ACPM) para los vehículos que conforman el parque automotor de la Universidad
Pedagógica Nacional</v>
      </c>
      <c r="O72" s="146">
        <v>1</v>
      </c>
      <c r="P72" s="146">
        <v>1</v>
      </c>
      <c r="Q72" s="147">
        <v>11</v>
      </c>
      <c r="R72" s="148" t="s">
        <v>51</v>
      </c>
      <c r="S72" s="149" t="s">
        <v>229</v>
      </c>
      <c r="T72" s="150" t="s">
        <v>53</v>
      </c>
      <c r="U72" s="151">
        <f t="shared" si="1"/>
        <v>120000000</v>
      </c>
      <c r="V72" s="152">
        <f t="shared" si="2"/>
        <v>120000000</v>
      </c>
      <c r="W72" s="153" t="s">
        <v>54</v>
      </c>
      <c r="X72" s="153" t="s">
        <v>55</v>
      </c>
      <c r="Y72" s="154" t="s">
        <v>56</v>
      </c>
      <c r="Z72" s="155" t="s">
        <v>57</v>
      </c>
      <c r="AA72" s="156" t="s">
        <v>42</v>
      </c>
      <c r="AB72" s="157" t="s">
        <v>58</v>
      </c>
      <c r="AC72" s="158" t="s">
        <v>59</v>
      </c>
      <c r="AD72" s="153" t="s">
        <v>54</v>
      </c>
      <c r="AE72" s="153" t="s">
        <v>60</v>
      </c>
      <c r="AF72" s="159" t="s">
        <v>61</v>
      </c>
      <c r="AG72" s="159" t="s">
        <v>62</v>
      </c>
      <c r="AH72" s="159" t="s">
        <v>63</v>
      </c>
      <c r="AI72" s="159" t="s">
        <v>64</v>
      </c>
      <c r="AJ72" s="159" t="s">
        <v>64</v>
      </c>
      <c r="AK72" s="197" t="s">
        <v>64</v>
      </c>
      <c r="AL72" s="42"/>
      <c r="AM72" s="42"/>
      <c r="AN72" s="42"/>
      <c r="AO72" s="42"/>
    </row>
    <row r="73" spans="1:41" ht="84.75" customHeight="1" thickBot="1" x14ac:dyDescent="0.25">
      <c r="A73" s="1"/>
      <c r="B73" s="196" t="s">
        <v>42</v>
      </c>
      <c r="C73" s="143">
        <v>1320</v>
      </c>
      <c r="D73" s="143" t="s">
        <v>150</v>
      </c>
      <c r="E73" s="143" t="s">
        <v>44</v>
      </c>
      <c r="F73" s="175" t="s">
        <v>120</v>
      </c>
      <c r="G73" s="175" t="s">
        <v>121</v>
      </c>
      <c r="H73" s="175" t="s">
        <v>230</v>
      </c>
      <c r="I73" s="176">
        <v>361174109</v>
      </c>
      <c r="J73" s="177" t="s">
        <v>48</v>
      </c>
      <c r="K73" s="177" t="s">
        <v>48</v>
      </c>
      <c r="L73" s="178" t="s">
        <v>231</v>
      </c>
      <c r="M73" s="143">
        <v>84131500</v>
      </c>
      <c r="N73" s="145" t="str">
        <f t="shared" si="5"/>
        <v>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v>
      </c>
      <c r="O73" s="146">
        <v>1</v>
      </c>
      <c r="P73" s="146">
        <v>1</v>
      </c>
      <c r="Q73" s="147">
        <v>11</v>
      </c>
      <c r="R73" s="148" t="s">
        <v>51</v>
      </c>
      <c r="S73" s="149" t="s">
        <v>232</v>
      </c>
      <c r="T73" s="150" t="s">
        <v>53</v>
      </c>
      <c r="U73" s="151">
        <f t="shared" si="1"/>
        <v>361174109</v>
      </c>
      <c r="V73" s="152">
        <f t="shared" si="2"/>
        <v>361174109</v>
      </c>
      <c r="W73" s="153" t="s">
        <v>54</v>
      </c>
      <c r="X73" s="153" t="s">
        <v>55</v>
      </c>
      <c r="Y73" s="154" t="s">
        <v>56</v>
      </c>
      <c r="Z73" s="155" t="s">
        <v>57</v>
      </c>
      <c r="AA73" s="156" t="s">
        <v>42</v>
      </c>
      <c r="AB73" s="157" t="s">
        <v>58</v>
      </c>
      <c r="AC73" s="158" t="s">
        <v>59</v>
      </c>
      <c r="AD73" s="153" t="s">
        <v>54</v>
      </c>
      <c r="AE73" s="153" t="s">
        <v>60</v>
      </c>
      <c r="AF73" s="159" t="s">
        <v>61</v>
      </c>
      <c r="AG73" s="159" t="s">
        <v>62</v>
      </c>
      <c r="AH73" s="159" t="s">
        <v>63</v>
      </c>
      <c r="AI73" s="159" t="s">
        <v>64</v>
      </c>
      <c r="AJ73" s="159" t="s">
        <v>64</v>
      </c>
      <c r="AK73" s="197" t="s">
        <v>64</v>
      </c>
    </row>
    <row r="74" spans="1:41" ht="84.75" customHeight="1" thickBot="1" x14ac:dyDescent="0.25">
      <c r="A74" s="1"/>
      <c r="B74" s="196" t="s">
        <v>42</v>
      </c>
      <c r="C74" s="143">
        <v>1320</v>
      </c>
      <c r="D74" s="143" t="s">
        <v>150</v>
      </c>
      <c r="E74" s="143" t="s">
        <v>44</v>
      </c>
      <c r="F74" s="175" t="s">
        <v>120</v>
      </c>
      <c r="G74" s="175" t="s">
        <v>121</v>
      </c>
      <c r="H74" s="175" t="s">
        <v>233</v>
      </c>
      <c r="I74" s="176">
        <v>67200000</v>
      </c>
      <c r="J74" s="177" t="s">
        <v>48</v>
      </c>
      <c r="K74" s="177" t="s">
        <v>48</v>
      </c>
      <c r="L74" s="178" t="s">
        <v>231</v>
      </c>
      <c r="M74" s="143">
        <v>84131500</v>
      </c>
      <c r="N74" s="145" t="str">
        <f t="shared" si="5"/>
        <v>Amparar el Pago de las pólizas correspondientes a los contratos y convenios que se tramitan desde la Subdirección de Asesorías y Extensión - Vicerrectoría de Gestión Universitaria.</v>
      </c>
      <c r="O74" s="146">
        <v>1</v>
      </c>
      <c r="P74" s="146">
        <v>1</v>
      </c>
      <c r="Q74" s="147">
        <v>11</v>
      </c>
      <c r="R74" s="148" t="s">
        <v>51</v>
      </c>
      <c r="S74" s="149" t="s">
        <v>232</v>
      </c>
      <c r="T74" s="150" t="s">
        <v>53</v>
      </c>
      <c r="U74" s="151">
        <f t="shared" si="1"/>
        <v>67200000</v>
      </c>
      <c r="V74" s="152">
        <f t="shared" si="2"/>
        <v>67200000</v>
      </c>
      <c r="W74" s="153" t="s">
        <v>54</v>
      </c>
      <c r="X74" s="153" t="s">
        <v>55</v>
      </c>
      <c r="Y74" s="154" t="s">
        <v>56</v>
      </c>
      <c r="Z74" s="155" t="s">
        <v>57</v>
      </c>
      <c r="AA74" s="156" t="s">
        <v>42</v>
      </c>
      <c r="AB74" s="157" t="s">
        <v>58</v>
      </c>
      <c r="AC74" s="158" t="s">
        <v>59</v>
      </c>
      <c r="AD74" s="153" t="s">
        <v>54</v>
      </c>
      <c r="AE74" s="153" t="s">
        <v>60</v>
      </c>
      <c r="AF74" s="159" t="s">
        <v>61</v>
      </c>
      <c r="AG74" s="159" t="s">
        <v>62</v>
      </c>
      <c r="AH74" s="159" t="s">
        <v>63</v>
      </c>
      <c r="AI74" s="159" t="s">
        <v>64</v>
      </c>
      <c r="AJ74" s="159" t="s">
        <v>64</v>
      </c>
      <c r="AK74" s="197" t="s">
        <v>64</v>
      </c>
    </row>
    <row r="75" spans="1:41" ht="84.75" customHeight="1" thickBot="1" x14ac:dyDescent="0.25">
      <c r="A75" s="1"/>
      <c r="B75" s="196" t="s">
        <v>42</v>
      </c>
      <c r="C75" s="143">
        <v>1320</v>
      </c>
      <c r="D75" s="143" t="s">
        <v>150</v>
      </c>
      <c r="E75" s="143" t="s">
        <v>44</v>
      </c>
      <c r="F75" s="175" t="s">
        <v>120</v>
      </c>
      <c r="G75" s="175" t="s">
        <v>121</v>
      </c>
      <c r="H75" s="175" t="s">
        <v>234</v>
      </c>
      <c r="I75" s="176">
        <f>12567179+230</f>
        <v>12567409</v>
      </c>
      <c r="J75" s="177" t="s">
        <v>48</v>
      </c>
      <c r="K75" s="177" t="s">
        <v>48</v>
      </c>
      <c r="L75" s="178" t="s">
        <v>143</v>
      </c>
      <c r="M75" s="143" t="s">
        <v>50</v>
      </c>
      <c r="N75" s="145" t="str">
        <f t="shared" si="5"/>
        <v>Amparar el pago de los SOAT "Seguro Obligatorio De Automóviles" de los vehículos de propiedad de la Universidad Pedagógica Nacional para la vigencia 2024.</v>
      </c>
      <c r="O75" s="146">
        <v>1</v>
      </c>
      <c r="P75" s="146">
        <v>1</v>
      </c>
      <c r="Q75" s="147">
        <v>11</v>
      </c>
      <c r="R75" s="148" t="s">
        <v>51</v>
      </c>
      <c r="S75" s="149" t="s">
        <v>235</v>
      </c>
      <c r="T75" s="150" t="s">
        <v>53</v>
      </c>
      <c r="U75" s="151">
        <f t="shared" si="1"/>
        <v>12567409</v>
      </c>
      <c r="V75" s="152">
        <f t="shared" si="2"/>
        <v>12567409</v>
      </c>
      <c r="W75" s="153" t="s">
        <v>54</v>
      </c>
      <c r="X75" s="153" t="s">
        <v>55</v>
      </c>
      <c r="Y75" s="154" t="s">
        <v>56</v>
      </c>
      <c r="Z75" s="155" t="s">
        <v>57</v>
      </c>
      <c r="AA75" s="156" t="s">
        <v>42</v>
      </c>
      <c r="AB75" s="157" t="s">
        <v>58</v>
      </c>
      <c r="AC75" s="158" t="s">
        <v>59</v>
      </c>
      <c r="AD75" s="153" t="s">
        <v>54</v>
      </c>
      <c r="AE75" s="153" t="s">
        <v>60</v>
      </c>
      <c r="AF75" s="159" t="s">
        <v>61</v>
      </c>
      <c r="AG75" s="159" t="s">
        <v>62</v>
      </c>
      <c r="AH75" s="159" t="s">
        <v>63</v>
      </c>
      <c r="AI75" s="159" t="s">
        <v>64</v>
      </c>
      <c r="AJ75" s="159" t="s">
        <v>64</v>
      </c>
      <c r="AK75" s="197" t="s">
        <v>64</v>
      </c>
    </row>
    <row r="76" spans="1:41" ht="84.75" customHeight="1" thickBot="1" x14ac:dyDescent="0.25">
      <c r="A76" s="1"/>
      <c r="B76" s="196" t="s">
        <v>42</v>
      </c>
      <c r="C76" s="143">
        <v>1320</v>
      </c>
      <c r="D76" s="143" t="s">
        <v>150</v>
      </c>
      <c r="E76" s="143" t="s">
        <v>236</v>
      </c>
      <c r="F76" s="175" t="s">
        <v>120</v>
      </c>
      <c r="G76" s="175" t="s">
        <v>121</v>
      </c>
      <c r="H76" s="175" t="s">
        <v>237</v>
      </c>
      <c r="I76" s="176">
        <v>19656000</v>
      </c>
      <c r="J76" s="177" t="s">
        <v>48</v>
      </c>
      <c r="K76" s="177" t="s">
        <v>48</v>
      </c>
      <c r="L76" s="178" t="s">
        <v>238</v>
      </c>
      <c r="M76" s="143" t="s">
        <v>50</v>
      </c>
      <c r="N76" s="145" t="str">
        <f t="shared" si="5"/>
        <v>Amparar los gastos bancarios de las operaciones que debe realizar la universidad y que cobran las entidades bancarias que no se contemplan en la reciprocidad</v>
      </c>
      <c r="O76" s="146">
        <v>1</v>
      </c>
      <c r="P76" s="146">
        <v>1</v>
      </c>
      <c r="Q76" s="147">
        <v>11</v>
      </c>
      <c r="R76" s="148" t="s">
        <v>51</v>
      </c>
      <c r="S76" s="149" t="s">
        <v>239</v>
      </c>
      <c r="T76" s="150" t="s">
        <v>53</v>
      </c>
      <c r="U76" s="151">
        <f t="shared" si="1"/>
        <v>19656000</v>
      </c>
      <c r="V76" s="152">
        <f t="shared" si="2"/>
        <v>19656000</v>
      </c>
      <c r="W76" s="153" t="s">
        <v>54</v>
      </c>
      <c r="X76" s="153" t="s">
        <v>55</v>
      </c>
      <c r="Y76" s="154" t="s">
        <v>56</v>
      </c>
      <c r="Z76" s="155" t="s">
        <v>57</v>
      </c>
      <c r="AA76" s="156" t="s">
        <v>42</v>
      </c>
      <c r="AB76" s="157" t="s">
        <v>58</v>
      </c>
      <c r="AC76" s="158" t="s">
        <v>59</v>
      </c>
      <c r="AD76" s="153" t="s">
        <v>54</v>
      </c>
      <c r="AE76" s="153" t="s">
        <v>60</v>
      </c>
      <c r="AF76" s="159" t="s">
        <v>61</v>
      </c>
      <c r="AG76" s="159" t="s">
        <v>62</v>
      </c>
      <c r="AH76" s="159" t="s">
        <v>63</v>
      </c>
      <c r="AI76" s="159" t="s">
        <v>64</v>
      </c>
      <c r="AJ76" s="159" t="s">
        <v>64</v>
      </c>
      <c r="AK76" s="197" t="s">
        <v>64</v>
      </c>
    </row>
    <row r="77" spans="1:41" ht="84.75" customHeight="1" thickBot="1" x14ac:dyDescent="0.25">
      <c r="A77" s="1"/>
      <c r="B77" s="196" t="s">
        <v>240</v>
      </c>
      <c r="C77" s="143">
        <v>1322</v>
      </c>
      <c r="D77" s="143" t="s">
        <v>241</v>
      </c>
      <c r="E77" s="143" t="s">
        <v>242</v>
      </c>
      <c r="F77" s="175" t="s">
        <v>120</v>
      </c>
      <c r="G77" s="175" t="s">
        <v>121</v>
      </c>
      <c r="H77" s="175" t="s">
        <v>243</v>
      </c>
      <c r="I77" s="176">
        <f>250000000+2000000</f>
        <v>252000000</v>
      </c>
      <c r="J77" s="177" t="s">
        <v>48</v>
      </c>
      <c r="K77" s="177" t="s">
        <v>48</v>
      </c>
      <c r="L77" s="178" t="s">
        <v>245</v>
      </c>
      <c r="M77" s="143" t="s">
        <v>50</v>
      </c>
      <c r="N77" s="145" t="str">
        <f t="shared" si="5"/>
        <v>Amparar los aportes a riesgos laborales -ARL de los estudiantes que realizarán práctica educativa o pedagógica durante la vigencia 2024.</v>
      </c>
      <c r="O77" s="146">
        <v>1</v>
      </c>
      <c r="P77" s="146">
        <v>1</v>
      </c>
      <c r="Q77" s="147">
        <v>11</v>
      </c>
      <c r="R77" s="148" t="s">
        <v>51</v>
      </c>
      <c r="S77" s="149" t="s">
        <v>246</v>
      </c>
      <c r="T77" s="150" t="s">
        <v>53</v>
      </c>
      <c r="U77" s="151">
        <f t="shared" si="1"/>
        <v>252000000</v>
      </c>
      <c r="V77" s="152">
        <f t="shared" si="2"/>
        <v>252000000</v>
      </c>
      <c r="W77" s="153" t="s">
        <v>54</v>
      </c>
      <c r="X77" s="153" t="s">
        <v>55</v>
      </c>
      <c r="Y77" s="154" t="s">
        <v>56</v>
      </c>
      <c r="Z77" s="155" t="s">
        <v>57</v>
      </c>
      <c r="AA77" s="156" t="s">
        <v>240</v>
      </c>
      <c r="AB77" s="157" t="s">
        <v>58</v>
      </c>
      <c r="AC77" s="158" t="s">
        <v>59</v>
      </c>
      <c r="AD77" s="153" t="s">
        <v>54</v>
      </c>
      <c r="AE77" s="153" t="s">
        <v>60</v>
      </c>
      <c r="AF77" s="159" t="s">
        <v>61</v>
      </c>
      <c r="AG77" s="159" t="s">
        <v>62</v>
      </c>
      <c r="AH77" s="159" t="s">
        <v>63</v>
      </c>
      <c r="AI77" s="159" t="s">
        <v>64</v>
      </c>
      <c r="AJ77" s="159" t="s">
        <v>64</v>
      </c>
      <c r="AK77" s="197" t="s">
        <v>64</v>
      </c>
    </row>
    <row r="78" spans="1:41" ht="84.75" customHeight="1" thickBot="1" x14ac:dyDescent="0.25">
      <c r="A78" s="1"/>
      <c r="B78" s="196" t="s">
        <v>42</v>
      </c>
      <c r="C78" s="143">
        <v>1320</v>
      </c>
      <c r="D78" s="143" t="s">
        <v>150</v>
      </c>
      <c r="E78" s="143" t="s">
        <v>44</v>
      </c>
      <c r="F78" s="175" t="s">
        <v>111</v>
      </c>
      <c r="G78" s="175" t="s">
        <v>112</v>
      </c>
      <c r="H78" s="175" t="s">
        <v>247</v>
      </c>
      <c r="I78" s="176">
        <v>20000000</v>
      </c>
      <c r="J78" s="177" t="s">
        <v>60</v>
      </c>
      <c r="K78" s="177" t="s">
        <v>48</v>
      </c>
      <c r="L78" s="178" t="s">
        <v>248</v>
      </c>
      <c r="M78" s="143" t="s">
        <v>249</v>
      </c>
      <c r="N78" s="237" t="str">
        <f t="shared" si="5"/>
        <v>Adquirir papelería y útiles de oficina, con el fin de atender las necesidades básicas de las diferentes dependencias de la Universidad vigencia 2024.</v>
      </c>
      <c r="O78" s="146">
        <v>4</v>
      </c>
      <c r="P78" s="146">
        <v>4</v>
      </c>
      <c r="Q78" s="147">
        <v>8</v>
      </c>
      <c r="R78" s="148" t="s">
        <v>51</v>
      </c>
      <c r="S78" s="149" t="s">
        <v>250</v>
      </c>
      <c r="T78" s="150" t="s">
        <v>53</v>
      </c>
      <c r="U78" s="151">
        <f t="shared" si="1"/>
        <v>20000000</v>
      </c>
      <c r="V78" s="152">
        <f t="shared" si="2"/>
        <v>20000000</v>
      </c>
      <c r="W78" s="153" t="s">
        <v>54</v>
      </c>
      <c r="X78" s="153" t="s">
        <v>55</v>
      </c>
      <c r="Y78" s="154" t="s">
        <v>56</v>
      </c>
      <c r="Z78" s="155" t="s">
        <v>57</v>
      </c>
      <c r="AA78" s="156" t="s">
        <v>42</v>
      </c>
      <c r="AB78" s="157" t="s">
        <v>58</v>
      </c>
      <c r="AC78" s="158" t="s">
        <v>59</v>
      </c>
      <c r="AD78" s="153" t="s">
        <v>54</v>
      </c>
      <c r="AE78" s="153" t="s">
        <v>60</v>
      </c>
      <c r="AF78" s="159" t="s">
        <v>61</v>
      </c>
      <c r="AG78" s="159" t="s">
        <v>62</v>
      </c>
      <c r="AH78" s="159" t="s">
        <v>63</v>
      </c>
      <c r="AI78" s="159" t="s">
        <v>64</v>
      </c>
      <c r="AJ78" s="159" t="s">
        <v>64</v>
      </c>
      <c r="AK78" s="197" t="s">
        <v>64</v>
      </c>
    </row>
    <row r="79" spans="1:41" ht="84.75" customHeight="1" thickBot="1" x14ac:dyDescent="0.25">
      <c r="A79" s="1"/>
      <c r="B79" s="196" t="s">
        <v>42</v>
      </c>
      <c r="C79" s="143">
        <v>1320</v>
      </c>
      <c r="D79" s="143" t="s">
        <v>150</v>
      </c>
      <c r="E79" s="143" t="s">
        <v>44</v>
      </c>
      <c r="F79" s="175" t="s">
        <v>114</v>
      </c>
      <c r="G79" s="175" t="s">
        <v>115</v>
      </c>
      <c r="H79" s="175" t="s">
        <v>251</v>
      </c>
      <c r="I79" s="176">
        <v>9864272</v>
      </c>
      <c r="J79" s="177" t="s">
        <v>60</v>
      </c>
      <c r="K79" s="177" t="s">
        <v>48</v>
      </c>
      <c r="L79" s="178" t="s">
        <v>248</v>
      </c>
      <c r="M79" s="143" t="s">
        <v>249</v>
      </c>
      <c r="N79" s="237"/>
      <c r="O79" s="146">
        <v>4</v>
      </c>
      <c r="P79" s="146">
        <v>4</v>
      </c>
      <c r="Q79" s="147">
        <v>8</v>
      </c>
      <c r="R79" s="148" t="s">
        <v>51</v>
      </c>
      <c r="S79" s="149" t="s">
        <v>252</v>
      </c>
      <c r="T79" s="150" t="s">
        <v>53</v>
      </c>
      <c r="U79" s="151">
        <f t="shared" si="1"/>
        <v>9864272</v>
      </c>
      <c r="V79" s="152">
        <f t="shared" si="2"/>
        <v>9864272</v>
      </c>
      <c r="W79" s="153" t="s">
        <v>54</v>
      </c>
      <c r="X79" s="153" t="s">
        <v>55</v>
      </c>
      <c r="Y79" s="154" t="s">
        <v>56</v>
      </c>
      <c r="Z79" s="155" t="s">
        <v>57</v>
      </c>
      <c r="AA79" s="156" t="s">
        <v>42</v>
      </c>
      <c r="AB79" s="157" t="s">
        <v>58</v>
      </c>
      <c r="AC79" s="158" t="s">
        <v>59</v>
      </c>
      <c r="AD79" s="153" t="s">
        <v>54</v>
      </c>
      <c r="AE79" s="153" t="s">
        <v>60</v>
      </c>
      <c r="AF79" s="159" t="s">
        <v>61</v>
      </c>
      <c r="AG79" s="159" t="s">
        <v>62</v>
      </c>
      <c r="AH79" s="159" t="s">
        <v>63</v>
      </c>
      <c r="AI79" s="159" t="s">
        <v>64</v>
      </c>
      <c r="AJ79" s="159" t="s">
        <v>64</v>
      </c>
      <c r="AK79" s="197" t="s">
        <v>64</v>
      </c>
    </row>
    <row r="80" spans="1:41" s="8" customFormat="1" ht="84.75" customHeight="1" thickBot="1" x14ac:dyDescent="0.25">
      <c r="A80" s="1"/>
      <c r="B80" s="196" t="s">
        <v>42</v>
      </c>
      <c r="C80" s="143">
        <v>1320</v>
      </c>
      <c r="D80" s="143" t="s">
        <v>150</v>
      </c>
      <c r="E80" s="143" t="s">
        <v>44</v>
      </c>
      <c r="F80" s="175" t="s">
        <v>128</v>
      </c>
      <c r="G80" s="175" t="s">
        <v>129</v>
      </c>
      <c r="H80" s="175" t="s">
        <v>247</v>
      </c>
      <c r="I80" s="176">
        <v>0</v>
      </c>
      <c r="J80" s="177" t="s">
        <v>48</v>
      </c>
      <c r="K80" s="177" t="s">
        <v>48</v>
      </c>
      <c r="L80" s="178" t="s">
        <v>248</v>
      </c>
      <c r="M80" s="143" t="s">
        <v>253</v>
      </c>
      <c r="N80" s="237"/>
      <c r="O80" s="146">
        <v>4</v>
      </c>
      <c r="P80" s="146">
        <v>4</v>
      </c>
      <c r="Q80" s="147">
        <v>8</v>
      </c>
      <c r="R80" s="148" t="s">
        <v>51</v>
      </c>
      <c r="S80" s="149" t="s">
        <v>254</v>
      </c>
      <c r="T80" s="150" t="s">
        <v>53</v>
      </c>
      <c r="U80" s="151">
        <f t="shared" si="1"/>
        <v>0</v>
      </c>
      <c r="V80" s="152">
        <f t="shared" si="2"/>
        <v>0</v>
      </c>
      <c r="W80" s="153" t="s">
        <v>54</v>
      </c>
      <c r="X80" s="153" t="s">
        <v>55</v>
      </c>
      <c r="Y80" s="154" t="s">
        <v>56</v>
      </c>
      <c r="Z80" s="155" t="s">
        <v>57</v>
      </c>
      <c r="AA80" s="156" t="s">
        <v>42</v>
      </c>
      <c r="AB80" s="157" t="s">
        <v>58</v>
      </c>
      <c r="AC80" s="158" t="s">
        <v>59</v>
      </c>
      <c r="AD80" s="153" t="s">
        <v>54</v>
      </c>
      <c r="AE80" s="153" t="s">
        <v>60</v>
      </c>
      <c r="AF80" s="159" t="s">
        <v>61</v>
      </c>
      <c r="AG80" s="159" t="s">
        <v>62</v>
      </c>
      <c r="AH80" s="159" t="s">
        <v>63</v>
      </c>
      <c r="AI80" s="159" t="s">
        <v>64</v>
      </c>
      <c r="AJ80" s="159" t="s">
        <v>64</v>
      </c>
      <c r="AK80" s="197" t="s">
        <v>64</v>
      </c>
      <c r="AL80" s="42"/>
      <c r="AM80" s="42"/>
      <c r="AN80" s="42"/>
      <c r="AO80" s="42"/>
    </row>
    <row r="81" spans="1:41" ht="84.75" customHeight="1" thickBot="1" x14ac:dyDescent="0.25">
      <c r="A81" s="1"/>
      <c r="B81" s="196" t="s">
        <v>42</v>
      </c>
      <c r="C81" s="143">
        <v>1320</v>
      </c>
      <c r="D81" s="143" t="s">
        <v>150</v>
      </c>
      <c r="E81" s="143" t="s">
        <v>44</v>
      </c>
      <c r="F81" s="175" t="s">
        <v>255</v>
      </c>
      <c r="G81" s="175" t="s">
        <v>256</v>
      </c>
      <c r="H81" s="175" t="s">
        <v>257</v>
      </c>
      <c r="I81" s="176">
        <v>20000000</v>
      </c>
      <c r="J81" s="177" t="s">
        <v>60</v>
      </c>
      <c r="K81" s="177" t="s">
        <v>48</v>
      </c>
      <c r="L81" s="178" t="s">
        <v>258</v>
      </c>
      <c r="M81" s="143" t="s">
        <v>259</v>
      </c>
      <c r="N81" s="145" t="str">
        <f t="shared" ref="N81:N87" si="6">H81</f>
        <v xml:space="preserve">Suministrar e instalar blackouts y persianas en las diferentes instalaciones de la Universidad Pedagógica Nacional. </v>
      </c>
      <c r="O81" s="146">
        <v>1</v>
      </c>
      <c r="P81" s="146">
        <v>1</v>
      </c>
      <c r="Q81" s="147">
        <v>11</v>
      </c>
      <c r="R81" s="148" t="s">
        <v>51</v>
      </c>
      <c r="S81" s="149" t="s">
        <v>260</v>
      </c>
      <c r="T81" s="150" t="s">
        <v>53</v>
      </c>
      <c r="U81" s="151">
        <f t="shared" si="1"/>
        <v>20000000</v>
      </c>
      <c r="V81" s="152">
        <f t="shared" si="2"/>
        <v>20000000</v>
      </c>
      <c r="W81" s="153" t="s">
        <v>54</v>
      </c>
      <c r="X81" s="153" t="s">
        <v>55</v>
      </c>
      <c r="Y81" s="154" t="s">
        <v>56</v>
      </c>
      <c r="Z81" s="155" t="s">
        <v>57</v>
      </c>
      <c r="AA81" s="156" t="s">
        <v>42</v>
      </c>
      <c r="AB81" s="157" t="s">
        <v>58</v>
      </c>
      <c r="AC81" s="158" t="s">
        <v>59</v>
      </c>
      <c r="AD81" s="153" t="s">
        <v>54</v>
      </c>
      <c r="AE81" s="153" t="s">
        <v>60</v>
      </c>
      <c r="AF81" s="159" t="s">
        <v>61</v>
      </c>
      <c r="AG81" s="159" t="s">
        <v>62</v>
      </c>
      <c r="AH81" s="159" t="s">
        <v>63</v>
      </c>
      <c r="AI81" s="159" t="s">
        <v>64</v>
      </c>
      <c r="AJ81" s="159" t="s">
        <v>64</v>
      </c>
      <c r="AK81" s="197" t="s">
        <v>64</v>
      </c>
    </row>
    <row r="82" spans="1:41" ht="84.75" customHeight="1" thickBot="1" x14ac:dyDescent="0.25">
      <c r="A82" s="1"/>
      <c r="B82" s="196" t="s">
        <v>42</v>
      </c>
      <c r="C82" s="143">
        <v>1320</v>
      </c>
      <c r="D82" s="143" t="s">
        <v>150</v>
      </c>
      <c r="E82" s="143" t="s">
        <v>44</v>
      </c>
      <c r="F82" s="175" t="s">
        <v>255</v>
      </c>
      <c r="G82" s="175" t="s">
        <v>256</v>
      </c>
      <c r="H82" s="175" t="s">
        <v>261</v>
      </c>
      <c r="I82" s="176">
        <v>40925047</v>
      </c>
      <c r="J82" s="177" t="s">
        <v>60</v>
      </c>
      <c r="K82" s="177" t="s">
        <v>48</v>
      </c>
      <c r="L82" s="178" t="s">
        <v>262</v>
      </c>
      <c r="M82" s="143" t="s">
        <v>263</v>
      </c>
      <c r="N82" s="145" t="str">
        <f t="shared" si="6"/>
        <v>Realizar el suministro e instalación de vidrios, divisiones, espejos, y películas en las diferentes instalaciones de la Universidad Pedagógica Nacional.</v>
      </c>
      <c r="O82" s="146">
        <v>1</v>
      </c>
      <c r="P82" s="146">
        <v>1</v>
      </c>
      <c r="Q82" s="147">
        <v>11</v>
      </c>
      <c r="R82" s="148" t="s">
        <v>51</v>
      </c>
      <c r="S82" s="149" t="s">
        <v>264</v>
      </c>
      <c r="T82" s="150" t="s">
        <v>53</v>
      </c>
      <c r="U82" s="151">
        <f t="shared" ref="U82:U147" si="7">+I82</f>
        <v>40925047</v>
      </c>
      <c r="V82" s="152">
        <f t="shared" ref="V82:V147" si="8">+U82</f>
        <v>40925047</v>
      </c>
      <c r="W82" s="153" t="s">
        <v>54</v>
      </c>
      <c r="X82" s="153" t="s">
        <v>55</v>
      </c>
      <c r="Y82" s="154" t="s">
        <v>56</v>
      </c>
      <c r="Z82" s="155" t="s">
        <v>57</v>
      </c>
      <c r="AA82" s="156" t="s">
        <v>42</v>
      </c>
      <c r="AB82" s="157" t="s">
        <v>58</v>
      </c>
      <c r="AC82" s="158" t="s">
        <v>59</v>
      </c>
      <c r="AD82" s="153" t="s">
        <v>54</v>
      </c>
      <c r="AE82" s="153" t="s">
        <v>60</v>
      </c>
      <c r="AF82" s="159" t="s">
        <v>61</v>
      </c>
      <c r="AG82" s="159" t="s">
        <v>62</v>
      </c>
      <c r="AH82" s="159" t="s">
        <v>63</v>
      </c>
      <c r="AI82" s="159" t="s">
        <v>64</v>
      </c>
      <c r="AJ82" s="159" t="s">
        <v>64</v>
      </c>
      <c r="AK82" s="197" t="s">
        <v>64</v>
      </c>
    </row>
    <row r="83" spans="1:41" ht="84.75" customHeight="1" thickBot="1" x14ac:dyDescent="0.25">
      <c r="A83" s="1"/>
      <c r="B83" s="196" t="s">
        <v>42</v>
      </c>
      <c r="C83" s="143">
        <v>1320</v>
      </c>
      <c r="D83" s="143" t="s">
        <v>150</v>
      </c>
      <c r="E83" s="143" t="s">
        <v>44</v>
      </c>
      <c r="F83" s="175" t="s">
        <v>117</v>
      </c>
      <c r="G83" s="175" t="s">
        <v>118</v>
      </c>
      <c r="H83" s="175" t="s">
        <v>265</v>
      </c>
      <c r="I83" s="176">
        <v>1300000000</v>
      </c>
      <c r="J83" s="177" t="s">
        <v>48</v>
      </c>
      <c r="K83" s="177" t="s">
        <v>48</v>
      </c>
      <c r="L83" s="178" t="s">
        <v>266</v>
      </c>
      <c r="M83" s="143" t="s">
        <v>50</v>
      </c>
      <c r="N83" s="145" t="str">
        <f t="shared" si="6"/>
        <v xml:space="preserve">Servicios Públicos
</v>
      </c>
      <c r="O83" s="146">
        <v>1</v>
      </c>
      <c r="P83" s="146">
        <v>1</v>
      </c>
      <c r="Q83" s="147">
        <v>11</v>
      </c>
      <c r="R83" s="148" t="s">
        <v>51</v>
      </c>
      <c r="S83" s="149" t="s">
        <v>267</v>
      </c>
      <c r="T83" s="150" t="s">
        <v>53</v>
      </c>
      <c r="U83" s="151">
        <f t="shared" si="7"/>
        <v>1300000000</v>
      </c>
      <c r="V83" s="152">
        <f t="shared" si="8"/>
        <v>1300000000</v>
      </c>
      <c r="W83" s="153" t="s">
        <v>54</v>
      </c>
      <c r="X83" s="153" t="s">
        <v>55</v>
      </c>
      <c r="Y83" s="154" t="s">
        <v>56</v>
      </c>
      <c r="Z83" s="155" t="s">
        <v>57</v>
      </c>
      <c r="AA83" s="156" t="s">
        <v>42</v>
      </c>
      <c r="AB83" s="157" t="s">
        <v>58</v>
      </c>
      <c r="AC83" s="158" t="s">
        <v>59</v>
      </c>
      <c r="AD83" s="153" t="s">
        <v>54</v>
      </c>
      <c r="AE83" s="153" t="s">
        <v>60</v>
      </c>
      <c r="AF83" s="159" t="s">
        <v>61</v>
      </c>
      <c r="AG83" s="159" t="s">
        <v>62</v>
      </c>
      <c r="AH83" s="159" t="s">
        <v>63</v>
      </c>
      <c r="AI83" s="159" t="s">
        <v>64</v>
      </c>
      <c r="AJ83" s="159" t="s">
        <v>64</v>
      </c>
      <c r="AK83" s="197" t="s">
        <v>64</v>
      </c>
    </row>
    <row r="84" spans="1:41" ht="84.75" customHeight="1" thickBot="1" x14ac:dyDescent="0.25">
      <c r="A84" s="1"/>
      <c r="B84" s="196" t="s">
        <v>42</v>
      </c>
      <c r="C84" s="143">
        <v>1320</v>
      </c>
      <c r="D84" s="143" t="s">
        <v>150</v>
      </c>
      <c r="E84" s="143" t="s">
        <v>44</v>
      </c>
      <c r="F84" s="175" t="s">
        <v>117</v>
      </c>
      <c r="G84" s="175" t="s">
        <v>118</v>
      </c>
      <c r="H84" s="175" t="s">
        <v>268</v>
      </c>
      <c r="I84" s="176">
        <f>343617347</f>
        <v>343617347</v>
      </c>
      <c r="J84" s="177" t="s">
        <v>60</v>
      </c>
      <c r="K84" s="177" t="s">
        <v>48</v>
      </c>
      <c r="L84" s="178" t="s">
        <v>269</v>
      </c>
      <c r="M84" s="143">
        <v>78111800</v>
      </c>
      <c r="N84" s="145" t="str">
        <f t="shared" si="6"/>
        <v>Prestar el servicio de transporte terrestre para las salidas académicas y administrativas de la Universidad Pedagógica Nacional</v>
      </c>
      <c r="O84" s="146">
        <v>1</v>
      </c>
      <c r="P84" s="146">
        <v>1</v>
      </c>
      <c r="Q84" s="147">
        <v>11</v>
      </c>
      <c r="R84" s="148" t="s">
        <v>51</v>
      </c>
      <c r="S84" s="149" t="s">
        <v>270</v>
      </c>
      <c r="T84" s="150" t="s">
        <v>53</v>
      </c>
      <c r="U84" s="151">
        <f t="shared" si="7"/>
        <v>343617347</v>
      </c>
      <c r="V84" s="152">
        <f t="shared" si="8"/>
        <v>343617347</v>
      </c>
      <c r="W84" s="153" t="s">
        <v>54</v>
      </c>
      <c r="X84" s="153" t="s">
        <v>55</v>
      </c>
      <c r="Y84" s="154" t="s">
        <v>56</v>
      </c>
      <c r="Z84" s="155" t="s">
        <v>57</v>
      </c>
      <c r="AA84" s="156" t="s">
        <v>42</v>
      </c>
      <c r="AB84" s="157" t="s">
        <v>58</v>
      </c>
      <c r="AC84" s="158" t="s">
        <v>59</v>
      </c>
      <c r="AD84" s="153" t="s">
        <v>54</v>
      </c>
      <c r="AE84" s="153" t="s">
        <v>60</v>
      </c>
      <c r="AF84" s="159" t="s">
        <v>61</v>
      </c>
      <c r="AG84" s="159" t="s">
        <v>62</v>
      </c>
      <c r="AH84" s="159" t="s">
        <v>63</v>
      </c>
      <c r="AI84" s="159" t="s">
        <v>64</v>
      </c>
      <c r="AJ84" s="159" t="s">
        <v>64</v>
      </c>
      <c r="AK84" s="197" t="s">
        <v>64</v>
      </c>
    </row>
    <row r="85" spans="1:41" ht="84.75" customHeight="1" thickBot="1" x14ac:dyDescent="0.25">
      <c r="A85" s="1"/>
      <c r="B85" s="196" t="s">
        <v>42</v>
      </c>
      <c r="C85" s="143">
        <v>1320</v>
      </c>
      <c r="D85" s="143" t="s">
        <v>150</v>
      </c>
      <c r="E85" s="143" t="s">
        <v>44</v>
      </c>
      <c r="F85" s="175" t="s">
        <v>117</v>
      </c>
      <c r="G85" s="175" t="s">
        <v>118</v>
      </c>
      <c r="H85" s="175" t="s">
        <v>271</v>
      </c>
      <c r="I85" s="176">
        <v>160000000</v>
      </c>
      <c r="J85" s="177" t="s">
        <v>60</v>
      </c>
      <c r="K85" s="177" t="s">
        <v>48</v>
      </c>
      <c r="L85" s="178" t="s">
        <v>272</v>
      </c>
      <c r="M85" s="143" t="s">
        <v>273</v>
      </c>
      <c r="N85" s="145" t="str">
        <f t="shared" si="6"/>
        <v>Suministrar los pasajes aéreos en rutas nacionales e internacionales, según requerimiento de la Universidad Pedagógica Nacional</v>
      </c>
      <c r="O85" s="146">
        <v>1</v>
      </c>
      <c r="P85" s="146">
        <v>1</v>
      </c>
      <c r="Q85" s="147">
        <v>11</v>
      </c>
      <c r="R85" s="148" t="s">
        <v>51</v>
      </c>
      <c r="S85" s="149" t="s">
        <v>274</v>
      </c>
      <c r="T85" s="150" t="s">
        <v>53</v>
      </c>
      <c r="U85" s="151">
        <f t="shared" si="7"/>
        <v>160000000</v>
      </c>
      <c r="V85" s="152">
        <f t="shared" si="8"/>
        <v>160000000</v>
      </c>
      <c r="W85" s="153" t="s">
        <v>54</v>
      </c>
      <c r="X85" s="153" t="s">
        <v>55</v>
      </c>
      <c r="Y85" s="154" t="s">
        <v>56</v>
      </c>
      <c r="Z85" s="155" t="s">
        <v>57</v>
      </c>
      <c r="AA85" s="156" t="s">
        <v>42</v>
      </c>
      <c r="AB85" s="157" t="s">
        <v>58</v>
      </c>
      <c r="AC85" s="158" t="s">
        <v>59</v>
      </c>
      <c r="AD85" s="153" t="s">
        <v>54</v>
      </c>
      <c r="AE85" s="153" t="s">
        <v>60</v>
      </c>
      <c r="AF85" s="159" t="s">
        <v>61</v>
      </c>
      <c r="AG85" s="159" t="s">
        <v>62</v>
      </c>
      <c r="AH85" s="159" t="s">
        <v>63</v>
      </c>
      <c r="AI85" s="159" t="s">
        <v>64</v>
      </c>
      <c r="AJ85" s="159" t="s">
        <v>64</v>
      </c>
      <c r="AK85" s="197" t="s">
        <v>64</v>
      </c>
    </row>
    <row r="86" spans="1:41" ht="84.75" customHeight="1" thickBot="1" x14ac:dyDescent="0.25">
      <c r="A86" s="1"/>
      <c r="B86" s="196" t="s">
        <v>42</v>
      </c>
      <c r="C86" s="143">
        <v>1320</v>
      </c>
      <c r="D86" s="143" t="s">
        <v>150</v>
      </c>
      <c r="E86" s="143" t="s">
        <v>44</v>
      </c>
      <c r="F86" s="175" t="s">
        <v>123</v>
      </c>
      <c r="G86" s="175" t="s">
        <v>124</v>
      </c>
      <c r="H86" s="175" t="s">
        <v>275</v>
      </c>
      <c r="I86" s="176">
        <f>500000000-40000000</f>
        <v>460000000</v>
      </c>
      <c r="J86" s="177" t="s">
        <v>48</v>
      </c>
      <c r="K86" s="177" t="s">
        <v>48</v>
      </c>
      <c r="L86" s="178" t="s">
        <v>266</v>
      </c>
      <c r="M86" s="143" t="s">
        <v>50</v>
      </c>
      <c r="N86" s="145" t="str">
        <f t="shared" si="6"/>
        <v xml:space="preserve">Servicios Públicos </v>
      </c>
      <c r="O86" s="146">
        <v>1</v>
      </c>
      <c r="P86" s="146">
        <v>1</v>
      </c>
      <c r="Q86" s="147">
        <v>11</v>
      </c>
      <c r="R86" s="148" t="s">
        <v>51</v>
      </c>
      <c r="S86" s="149" t="s">
        <v>276</v>
      </c>
      <c r="T86" s="150" t="s">
        <v>53</v>
      </c>
      <c r="U86" s="151">
        <f t="shared" si="7"/>
        <v>460000000</v>
      </c>
      <c r="V86" s="152">
        <f t="shared" si="8"/>
        <v>460000000</v>
      </c>
      <c r="W86" s="153" t="s">
        <v>54</v>
      </c>
      <c r="X86" s="153" t="s">
        <v>55</v>
      </c>
      <c r="Y86" s="154" t="s">
        <v>56</v>
      </c>
      <c r="Z86" s="155" t="s">
        <v>57</v>
      </c>
      <c r="AA86" s="156" t="s">
        <v>42</v>
      </c>
      <c r="AB86" s="157" t="s">
        <v>58</v>
      </c>
      <c r="AC86" s="158" t="s">
        <v>59</v>
      </c>
      <c r="AD86" s="153" t="s">
        <v>54</v>
      </c>
      <c r="AE86" s="153" t="s">
        <v>60</v>
      </c>
      <c r="AF86" s="159" t="s">
        <v>61</v>
      </c>
      <c r="AG86" s="159" t="s">
        <v>62</v>
      </c>
      <c r="AH86" s="159" t="s">
        <v>63</v>
      </c>
      <c r="AI86" s="159" t="s">
        <v>64</v>
      </c>
      <c r="AJ86" s="159" t="s">
        <v>64</v>
      </c>
      <c r="AK86" s="197" t="s">
        <v>64</v>
      </c>
    </row>
    <row r="87" spans="1:41" s="30" customFormat="1" ht="84.75" customHeight="1" thickBot="1" x14ac:dyDescent="0.25">
      <c r="A87" s="1"/>
      <c r="B87" s="196" t="s">
        <v>42</v>
      </c>
      <c r="C87" s="143">
        <v>1320</v>
      </c>
      <c r="D87" s="143" t="s">
        <v>150</v>
      </c>
      <c r="E87" s="143" t="s">
        <v>44</v>
      </c>
      <c r="F87" s="175" t="s">
        <v>123</v>
      </c>
      <c r="G87" s="175" t="s">
        <v>124</v>
      </c>
      <c r="H87" s="175" t="s">
        <v>277</v>
      </c>
      <c r="I87" s="176">
        <v>742300236</v>
      </c>
      <c r="J87" s="177" t="s">
        <v>48</v>
      </c>
      <c r="K87" s="177" t="s">
        <v>48</v>
      </c>
      <c r="L87" s="178" t="s">
        <v>231</v>
      </c>
      <c r="M87" s="143" t="s">
        <v>50</v>
      </c>
      <c r="N87" s="145" t="str">
        <f t="shared" si="6"/>
        <v>Prestar el servicio integral de conectividad (Canal de Datos, Internet y Wifi dedicado) con los equipos necesarios instalados y configurados sobre la plataforma tecnológica de la Universidad Pedagógica Nacional. Según Acuerdo 017 del 29 de septiembre del 2023, del Consejo Superior - Vigencia futura 2024.</v>
      </c>
      <c r="O87" s="146">
        <v>1</v>
      </c>
      <c r="P87" s="146">
        <v>1</v>
      </c>
      <c r="Q87" s="147">
        <v>11</v>
      </c>
      <c r="R87" s="148" t="s">
        <v>51</v>
      </c>
      <c r="S87" s="149" t="s">
        <v>278</v>
      </c>
      <c r="T87" s="150" t="s">
        <v>53</v>
      </c>
      <c r="U87" s="151">
        <f t="shared" si="7"/>
        <v>742300236</v>
      </c>
      <c r="V87" s="152">
        <f t="shared" si="8"/>
        <v>742300236</v>
      </c>
      <c r="W87" s="153" t="s">
        <v>54</v>
      </c>
      <c r="X87" s="153" t="s">
        <v>55</v>
      </c>
      <c r="Y87" s="154" t="s">
        <v>56</v>
      </c>
      <c r="Z87" s="155" t="s">
        <v>57</v>
      </c>
      <c r="AA87" s="156" t="s">
        <v>42</v>
      </c>
      <c r="AB87" s="157" t="s">
        <v>58</v>
      </c>
      <c r="AC87" s="158" t="s">
        <v>59</v>
      </c>
      <c r="AD87" s="153" t="s">
        <v>54</v>
      </c>
      <c r="AE87" s="153" t="s">
        <v>60</v>
      </c>
      <c r="AF87" s="159" t="s">
        <v>61</v>
      </c>
      <c r="AG87" s="159" t="s">
        <v>62</v>
      </c>
      <c r="AH87" s="159" t="s">
        <v>63</v>
      </c>
      <c r="AI87" s="159" t="s">
        <v>64</v>
      </c>
      <c r="AJ87" s="159" t="s">
        <v>64</v>
      </c>
      <c r="AK87" s="197" t="s">
        <v>64</v>
      </c>
      <c r="AL87" s="42"/>
      <c r="AM87" s="42"/>
      <c r="AN87" s="42"/>
      <c r="AO87" s="42"/>
    </row>
    <row r="88" spans="1:41" s="31" customFormat="1" ht="84.75" customHeight="1" thickBot="1" x14ac:dyDescent="0.25">
      <c r="A88" s="1"/>
      <c r="B88" s="196"/>
      <c r="C88" s="143">
        <v>1320</v>
      </c>
      <c r="D88" s="143" t="s">
        <v>150</v>
      </c>
      <c r="E88" s="143" t="s">
        <v>44</v>
      </c>
      <c r="F88" s="175" t="s">
        <v>123</v>
      </c>
      <c r="G88" s="175" t="s">
        <v>124</v>
      </c>
      <c r="H88" s="175" t="s">
        <v>279</v>
      </c>
      <c r="I88" s="176">
        <v>360310002</v>
      </c>
      <c r="J88" s="177"/>
      <c r="K88" s="177"/>
      <c r="L88" s="178" t="s">
        <v>280</v>
      </c>
      <c r="M88" s="238">
        <v>92121500</v>
      </c>
      <c r="N88" s="237" t="str">
        <f>H89</f>
        <v>Contratar la prestación del servicio de vigilancia y seguridad privada para las personas y bienes muebles e inmuebles de la Universidad Pedagógica Nacional</v>
      </c>
      <c r="O88" s="153">
        <v>10</v>
      </c>
      <c r="P88" s="146">
        <v>11</v>
      </c>
      <c r="Q88" s="147">
        <v>12</v>
      </c>
      <c r="R88" s="148" t="s">
        <v>51</v>
      </c>
      <c r="S88" s="149" t="s">
        <v>281</v>
      </c>
      <c r="T88" s="150" t="s">
        <v>53</v>
      </c>
      <c r="U88" s="151">
        <f t="shared" si="7"/>
        <v>360310002</v>
      </c>
      <c r="V88" s="152">
        <f t="shared" si="8"/>
        <v>360310002</v>
      </c>
      <c r="W88" s="153"/>
      <c r="X88" s="153"/>
      <c r="Y88" s="154"/>
      <c r="Z88" s="155"/>
      <c r="AA88" s="156"/>
      <c r="AB88" s="157"/>
      <c r="AC88" s="158"/>
      <c r="AD88" s="153"/>
      <c r="AE88" s="153"/>
      <c r="AF88" s="159"/>
      <c r="AG88" s="159"/>
      <c r="AH88" s="159"/>
      <c r="AI88" s="159"/>
      <c r="AJ88" s="159"/>
      <c r="AK88" s="197"/>
      <c r="AL88" s="42"/>
      <c r="AM88" s="42"/>
      <c r="AN88" s="42"/>
      <c r="AO88" s="42"/>
    </row>
    <row r="89" spans="1:41" s="32" customFormat="1" ht="84.75" customHeight="1" thickBot="1" x14ac:dyDescent="0.25">
      <c r="A89" s="1"/>
      <c r="B89" s="196" t="s">
        <v>42</v>
      </c>
      <c r="C89" s="143">
        <v>1320</v>
      </c>
      <c r="D89" s="143" t="s">
        <v>150</v>
      </c>
      <c r="E89" s="143" t="s">
        <v>44</v>
      </c>
      <c r="F89" s="175" t="s">
        <v>123</v>
      </c>
      <c r="G89" s="175" t="s">
        <v>124</v>
      </c>
      <c r="H89" s="175" t="s">
        <v>279</v>
      </c>
      <c r="I89" s="176">
        <v>106876707</v>
      </c>
      <c r="J89" s="177" t="s">
        <v>60</v>
      </c>
      <c r="K89" s="177" t="s">
        <v>48</v>
      </c>
      <c r="L89" s="178" t="s">
        <v>280</v>
      </c>
      <c r="M89" s="238"/>
      <c r="N89" s="237"/>
      <c r="O89" s="153">
        <v>10</v>
      </c>
      <c r="P89" s="146">
        <v>11</v>
      </c>
      <c r="Q89" s="147">
        <v>12</v>
      </c>
      <c r="R89" s="148" t="s">
        <v>51</v>
      </c>
      <c r="S89" s="149" t="s">
        <v>281</v>
      </c>
      <c r="T89" s="150" t="s">
        <v>282</v>
      </c>
      <c r="U89" s="151">
        <f t="shared" si="7"/>
        <v>106876707</v>
      </c>
      <c r="V89" s="152">
        <f t="shared" si="8"/>
        <v>106876707</v>
      </c>
      <c r="W89" s="153" t="s">
        <v>54</v>
      </c>
      <c r="X89" s="153" t="s">
        <v>55</v>
      </c>
      <c r="Y89" s="154" t="s">
        <v>56</v>
      </c>
      <c r="Z89" s="155" t="s">
        <v>57</v>
      </c>
      <c r="AA89" s="156" t="s">
        <v>42</v>
      </c>
      <c r="AB89" s="157" t="s">
        <v>58</v>
      </c>
      <c r="AC89" s="158" t="s">
        <v>59</v>
      </c>
      <c r="AD89" s="153" t="s">
        <v>54</v>
      </c>
      <c r="AE89" s="153" t="s">
        <v>60</v>
      </c>
      <c r="AF89" s="159" t="s">
        <v>61</v>
      </c>
      <c r="AG89" s="159" t="s">
        <v>62</v>
      </c>
      <c r="AH89" s="159" t="s">
        <v>63</v>
      </c>
      <c r="AI89" s="159" t="s">
        <v>64</v>
      </c>
      <c r="AJ89" s="159" t="s">
        <v>64</v>
      </c>
      <c r="AK89" s="197" t="s">
        <v>64</v>
      </c>
      <c r="AL89" s="29"/>
      <c r="AM89" s="29"/>
      <c r="AN89" s="29"/>
      <c r="AO89" s="29"/>
    </row>
    <row r="90" spans="1:41" ht="84.75" customHeight="1" thickBot="1" x14ac:dyDescent="0.25">
      <c r="A90" s="1"/>
      <c r="B90" s="196" t="s">
        <v>42</v>
      </c>
      <c r="C90" s="143">
        <v>1311</v>
      </c>
      <c r="D90" s="143" t="s">
        <v>283</v>
      </c>
      <c r="E90" s="143" t="s">
        <v>44</v>
      </c>
      <c r="F90" s="175" t="s">
        <v>123</v>
      </c>
      <c r="G90" s="175" t="s">
        <v>124</v>
      </c>
      <c r="H90" s="175" t="s">
        <v>279</v>
      </c>
      <c r="I90" s="176">
        <v>19188274.471846402</v>
      </c>
      <c r="J90" s="177" t="s">
        <v>60</v>
      </c>
      <c r="K90" s="177" t="s">
        <v>48</v>
      </c>
      <c r="L90" s="178" t="s">
        <v>280</v>
      </c>
      <c r="M90" s="238"/>
      <c r="N90" s="237"/>
      <c r="O90" s="153">
        <v>10</v>
      </c>
      <c r="P90" s="146">
        <v>11</v>
      </c>
      <c r="Q90" s="147">
        <v>12</v>
      </c>
      <c r="R90" s="148" t="s">
        <v>51</v>
      </c>
      <c r="S90" s="149" t="s">
        <v>281</v>
      </c>
      <c r="T90" s="150" t="s">
        <v>145</v>
      </c>
      <c r="U90" s="151">
        <f t="shared" si="7"/>
        <v>19188274.471846402</v>
      </c>
      <c r="V90" s="152">
        <f t="shared" si="8"/>
        <v>19188274.471846402</v>
      </c>
      <c r="W90" s="153" t="s">
        <v>54</v>
      </c>
      <c r="X90" s="153" t="s">
        <v>55</v>
      </c>
      <c r="Y90" s="154" t="s">
        <v>56</v>
      </c>
      <c r="Z90" s="155" t="s">
        <v>57</v>
      </c>
      <c r="AA90" s="156" t="s">
        <v>42</v>
      </c>
      <c r="AB90" s="157" t="s">
        <v>58</v>
      </c>
      <c r="AC90" s="158" t="s">
        <v>59</v>
      </c>
      <c r="AD90" s="153" t="s">
        <v>54</v>
      </c>
      <c r="AE90" s="153" t="s">
        <v>60</v>
      </c>
      <c r="AF90" s="159" t="s">
        <v>61</v>
      </c>
      <c r="AG90" s="159" t="s">
        <v>62</v>
      </c>
      <c r="AH90" s="159" t="s">
        <v>63</v>
      </c>
      <c r="AI90" s="159" t="s">
        <v>64</v>
      </c>
      <c r="AJ90" s="159" t="s">
        <v>64</v>
      </c>
      <c r="AK90" s="197" t="s">
        <v>64</v>
      </c>
    </row>
    <row r="91" spans="1:41" s="34" customFormat="1" ht="84.75" customHeight="1" thickBot="1" x14ac:dyDescent="0.25">
      <c r="A91" s="1"/>
      <c r="B91" s="196" t="s">
        <v>42</v>
      </c>
      <c r="C91" s="143"/>
      <c r="D91" s="143" t="s">
        <v>150</v>
      </c>
      <c r="E91" s="143" t="s">
        <v>44</v>
      </c>
      <c r="F91" s="175"/>
      <c r="G91" s="175" t="s">
        <v>124</v>
      </c>
      <c r="H91" s="175" t="s">
        <v>284</v>
      </c>
      <c r="I91" s="176">
        <f>451547685+54998420+70000000-(317162668+9301682+175148053)</f>
        <v>74933702</v>
      </c>
      <c r="J91" s="177" t="s">
        <v>60</v>
      </c>
      <c r="K91" s="177" t="s">
        <v>48</v>
      </c>
      <c r="L91" s="178" t="s">
        <v>285</v>
      </c>
      <c r="M91" s="143">
        <v>76111500</v>
      </c>
      <c r="N91" s="145" t="str">
        <f>H91</f>
        <v>Prestar el servicio de aseo y cafetería para la Universidad Pedagógica Nacional</v>
      </c>
      <c r="O91" s="146">
        <v>1</v>
      </c>
      <c r="P91" s="146">
        <v>1</v>
      </c>
      <c r="Q91" s="147">
        <v>11</v>
      </c>
      <c r="R91" s="148" t="s">
        <v>51</v>
      </c>
      <c r="S91" s="149" t="s">
        <v>286</v>
      </c>
      <c r="T91" s="150"/>
      <c r="U91" s="151">
        <f t="shared" si="7"/>
        <v>74933702</v>
      </c>
      <c r="V91" s="152">
        <f t="shared" si="8"/>
        <v>74933702</v>
      </c>
      <c r="W91" s="153" t="s">
        <v>54</v>
      </c>
      <c r="X91" s="153" t="s">
        <v>55</v>
      </c>
      <c r="Y91" s="154" t="s">
        <v>56</v>
      </c>
      <c r="Z91" s="155" t="s">
        <v>57</v>
      </c>
      <c r="AA91" s="156" t="s">
        <v>42</v>
      </c>
      <c r="AB91" s="157" t="s">
        <v>58</v>
      </c>
      <c r="AC91" s="158" t="s">
        <v>59</v>
      </c>
      <c r="AD91" s="153" t="s">
        <v>54</v>
      </c>
      <c r="AE91" s="153" t="s">
        <v>60</v>
      </c>
      <c r="AF91" s="159" t="s">
        <v>61</v>
      </c>
      <c r="AG91" s="159" t="s">
        <v>62</v>
      </c>
      <c r="AH91" s="159" t="s">
        <v>63</v>
      </c>
      <c r="AI91" s="159" t="s">
        <v>64</v>
      </c>
      <c r="AJ91" s="159" t="s">
        <v>64</v>
      </c>
      <c r="AK91" s="197" t="s">
        <v>64</v>
      </c>
      <c r="AL91" s="29"/>
      <c r="AM91" s="29"/>
      <c r="AN91" s="29"/>
      <c r="AO91" s="29"/>
    </row>
    <row r="92" spans="1:41" ht="84.75" customHeight="1" thickBot="1" x14ac:dyDescent="0.25">
      <c r="A92" s="1"/>
      <c r="B92" s="196" t="s">
        <v>42</v>
      </c>
      <c r="C92" s="143">
        <v>1320</v>
      </c>
      <c r="D92" s="143" t="s">
        <v>150</v>
      </c>
      <c r="E92" s="143" t="s">
        <v>44</v>
      </c>
      <c r="F92" s="175" t="s">
        <v>123</v>
      </c>
      <c r="G92" s="175" t="s">
        <v>124</v>
      </c>
      <c r="H92" s="175" t="s">
        <v>287</v>
      </c>
      <c r="I92" s="176">
        <v>0</v>
      </c>
      <c r="J92" s="177" t="s">
        <v>60</v>
      </c>
      <c r="K92" s="177" t="s">
        <v>48</v>
      </c>
      <c r="L92" s="178" t="s">
        <v>288</v>
      </c>
      <c r="M92" s="143">
        <v>78181500</v>
      </c>
      <c r="N92" s="145" t="str">
        <f>H92</f>
        <v>Realizar el mantenimiento preventivo y correctivo a vehículos con motorización OTTO a Gasolina de la flota vehicular de la Universidad</v>
      </c>
      <c r="O92" s="146">
        <v>1</v>
      </c>
      <c r="P92" s="146">
        <v>1</v>
      </c>
      <c r="Q92" s="147">
        <v>11</v>
      </c>
      <c r="R92" s="148" t="s">
        <v>51</v>
      </c>
      <c r="S92" s="149" t="s">
        <v>289</v>
      </c>
      <c r="T92" s="150" t="s">
        <v>53</v>
      </c>
      <c r="U92" s="151">
        <f t="shared" si="7"/>
        <v>0</v>
      </c>
      <c r="V92" s="152">
        <f t="shared" si="8"/>
        <v>0</v>
      </c>
      <c r="W92" s="153" t="s">
        <v>54</v>
      </c>
      <c r="X92" s="153" t="s">
        <v>55</v>
      </c>
      <c r="Y92" s="154" t="s">
        <v>56</v>
      </c>
      <c r="Z92" s="155" t="s">
        <v>57</v>
      </c>
      <c r="AA92" s="156" t="s">
        <v>42</v>
      </c>
      <c r="AB92" s="157" t="s">
        <v>58</v>
      </c>
      <c r="AC92" s="158" t="s">
        <v>59</v>
      </c>
      <c r="AD92" s="153" t="s">
        <v>54</v>
      </c>
      <c r="AE92" s="153" t="s">
        <v>60</v>
      </c>
      <c r="AF92" s="159" t="s">
        <v>61</v>
      </c>
      <c r="AG92" s="159" t="s">
        <v>62</v>
      </c>
      <c r="AH92" s="159" t="s">
        <v>63</v>
      </c>
      <c r="AI92" s="159" t="s">
        <v>64</v>
      </c>
      <c r="AJ92" s="159" t="s">
        <v>64</v>
      </c>
      <c r="AK92" s="197" t="s">
        <v>64</v>
      </c>
    </row>
    <row r="93" spans="1:41" ht="84.75" customHeight="1" thickBot="1" x14ac:dyDescent="0.25">
      <c r="A93" s="1"/>
      <c r="B93" s="196" t="s">
        <v>42</v>
      </c>
      <c r="C93" s="143">
        <v>1320</v>
      </c>
      <c r="D93" s="143" t="s">
        <v>150</v>
      </c>
      <c r="E93" s="143" t="s">
        <v>44</v>
      </c>
      <c r="F93" s="175" t="s">
        <v>123</v>
      </c>
      <c r="G93" s="175" t="s">
        <v>124</v>
      </c>
      <c r="H93" s="175" t="s">
        <v>290</v>
      </c>
      <c r="I93" s="176">
        <f>5000000+2040000</f>
        <v>7040000</v>
      </c>
      <c r="J93" s="177" t="s">
        <v>60</v>
      </c>
      <c r="K93" s="177" t="s">
        <v>48</v>
      </c>
      <c r="L93" s="178" t="s">
        <v>291</v>
      </c>
      <c r="M93" s="143">
        <v>72152202</v>
      </c>
      <c r="N93" s="145" t="s">
        <v>290</v>
      </c>
      <c r="O93" s="146">
        <v>10</v>
      </c>
      <c r="P93" s="146">
        <v>10</v>
      </c>
      <c r="Q93" s="147">
        <v>2</v>
      </c>
      <c r="R93" s="148" t="s">
        <v>51</v>
      </c>
      <c r="S93" s="149" t="s">
        <v>292</v>
      </c>
      <c r="T93" s="150" t="s">
        <v>53</v>
      </c>
      <c r="U93" s="151">
        <f t="shared" si="7"/>
        <v>7040000</v>
      </c>
      <c r="V93" s="152">
        <f t="shared" si="8"/>
        <v>7040000</v>
      </c>
      <c r="W93" s="153" t="s">
        <v>54</v>
      </c>
      <c r="X93" s="153" t="s">
        <v>55</v>
      </c>
      <c r="Y93" s="154" t="s">
        <v>56</v>
      </c>
      <c r="Z93" s="155" t="s">
        <v>57</v>
      </c>
      <c r="AA93" s="156" t="s">
        <v>42</v>
      </c>
      <c r="AB93" s="157" t="s">
        <v>58</v>
      </c>
      <c r="AC93" s="158" t="s">
        <v>59</v>
      </c>
      <c r="AD93" s="153" t="s">
        <v>54</v>
      </c>
      <c r="AE93" s="153" t="s">
        <v>60</v>
      </c>
      <c r="AF93" s="159" t="s">
        <v>61</v>
      </c>
      <c r="AG93" s="159" t="s">
        <v>62</v>
      </c>
      <c r="AH93" s="159" t="s">
        <v>63</v>
      </c>
      <c r="AI93" s="159" t="s">
        <v>64</v>
      </c>
      <c r="AJ93" s="159" t="s">
        <v>64</v>
      </c>
      <c r="AK93" s="197" t="s">
        <v>64</v>
      </c>
    </row>
    <row r="94" spans="1:41" s="8" customFormat="1" ht="84.75" customHeight="1" thickBot="1" x14ac:dyDescent="0.25">
      <c r="A94" s="1"/>
      <c r="B94" s="196" t="s">
        <v>293</v>
      </c>
      <c r="C94" s="143">
        <v>1324</v>
      </c>
      <c r="D94" s="143" t="s">
        <v>294</v>
      </c>
      <c r="E94" s="143" t="s">
        <v>295</v>
      </c>
      <c r="F94" s="175" t="s">
        <v>117</v>
      </c>
      <c r="G94" s="175" t="s">
        <v>118</v>
      </c>
      <c r="H94" s="175" t="s">
        <v>296</v>
      </c>
      <c r="I94" s="176">
        <v>1500000</v>
      </c>
      <c r="J94" s="177" t="s">
        <v>60</v>
      </c>
      <c r="K94" s="177" t="s">
        <v>54</v>
      </c>
      <c r="L94" s="178" t="s">
        <v>297</v>
      </c>
      <c r="M94" s="143" t="s">
        <v>298</v>
      </c>
      <c r="N94" s="145" t="str">
        <f t="shared" ref="N94:N160" si="9">H94</f>
        <v>Prestar el servicio de catering para eventos de la Universidad Pedagógica Nacional.</v>
      </c>
      <c r="O94" s="146">
        <v>1</v>
      </c>
      <c r="P94" s="146">
        <v>1</v>
      </c>
      <c r="Q94" s="147">
        <v>11</v>
      </c>
      <c r="R94" s="148" t="s">
        <v>51</v>
      </c>
      <c r="S94" s="149" t="s">
        <v>299</v>
      </c>
      <c r="T94" s="150" t="s">
        <v>53</v>
      </c>
      <c r="U94" s="151">
        <f t="shared" si="7"/>
        <v>1500000</v>
      </c>
      <c r="V94" s="152">
        <f t="shared" si="8"/>
        <v>1500000</v>
      </c>
      <c r="W94" s="153" t="s">
        <v>54</v>
      </c>
      <c r="X94" s="153" t="s">
        <v>55</v>
      </c>
      <c r="Y94" s="154" t="s">
        <v>56</v>
      </c>
      <c r="Z94" s="155" t="s">
        <v>57</v>
      </c>
      <c r="AA94" s="156" t="s">
        <v>293</v>
      </c>
      <c r="AB94" s="157" t="s">
        <v>58</v>
      </c>
      <c r="AC94" s="158" t="s">
        <v>59</v>
      </c>
      <c r="AD94" s="153" t="s">
        <v>54</v>
      </c>
      <c r="AE94" s="153" t="s">
        <v>60</v>
      </c>
      <c r="AF94" s="159" t="s">
        <v>61</v>
      </c>
      <c r="AG94" s="159" t="s">
        <v>62</v>
      </c>
      <c r="AH94" s="159" t="s">
        <v>63</v>
      </c>
      <c r="AI94" s="159" t="s">
        <v>64</v>
      </c>
      <c r="AJ94" s="159" t="s">
        <v>64</v>
      </c>
      <c r="AK94" s="197" t="s">
        <v>64</v>
      </c>
      <c r="AL94" s="42"/>
      <c r="AM94" s="42"/>
      <c r="AN94" s="42"/>
      <c r="AO94" s="42"/>
    </row>
    <row r="95" spans="1:41" ht="84.75" customHeight="1" thickBot="1" x14ac:dyDescent="0.25">
      <c r="A95" s="1"/>
      <c r="B95" s="196" t="s">
        <v>240</v>
      </c>
      <c r="C95" s="143">
        <v>1327</v>
      </c>
      <c r="D95" s="143" t="s">
        <v>300</v>
      </c>
      <c r="E95" s="143" t="s">
        <v>301</v>
      </c>
      <c r="F95" s="175" t="s">
        <v>123</v>
      </c>
      <c r="G95" s="175" t="s">
        <v>124</v>
      </c>
      <c r="H95" s="175" t="s">
        <v>302</v>
      </c>
      <c r="I95" s="176">
        <v>3700000</v>
      </c>
      <c r="J95" s="177" t="s">
        <v>60</v>
      </c>
      <c r="K95" s="177" t="s">
        <v>48</v>
      </c>
      <c r="L95" s="178" t="s">
        <v>303</v>
      </c>
      <c r="M95" s="143">
        <v>73152100</v>
      </c>
      <c r="N95" s="145" t="str">
        <f t="shared" si="9"/>
        <v>Realizar el mantenimiento preventivo del proyector del Auditorio Multipropósito Simón Rodríguez de las Instalaciones de la calle 72 - UPN.</v>
      </c>
      <c r="O95" s="146">
        <v>1</v>
      </c>
      <c r="P95" s="146">
        <v>1</v>
      </c>
      <c r="Q95" s="147">
        <v>11</v>
      </c>
      <c r="R95" s="148" t="s">
        <v>51</v>
      </c>
      <c r="S95" s="149" t="s">
        <v>304</v>
      </c>
      <c r="T95" s="150" t="s">
        <v>53</v>
      </c>
      <c r="U95" s="151">
        <f t="shared" si="7"/>
        <v>3700000</v>
      </c>
      <c r="V95" s="152">
        <f t="shared" si="8"/>
        <v>3700000</v>
      </c>
      <c r="W95" s="153" t="s">
        <v>54</v>
      </c>
      <c r="X95" s="153" t="s">
        <v>55</v>
      </c>
      <c r="Y95" s="154" t="s">
        <v>56</v>
      </c>
      <c r="Z95" s="155" t="s">
        <v>57</v>
      </c>
      <c r="AA95" s="156" t="s">
        <v>240</v>
      </c>
      <c r="AB95" s="157" t="s">
        <v>58</v>
      </c>
      <c r="AC95" s="158" t="s">
        <v>59</v>
      </c>
      <c r="AD95" s="153" t="s">
        <v>54</v>
      </c>
      <c r="AE95" s="153" t="s">
        <v>60</v>
      </c>
      <c r="AF95" s="159" t="s">
        <v>61</v>
      </c>
      <c r="AG95" s="159" t="s">
        <v>62</v>
      </c>
      <c r="AH95" s="159" t="s">
        <v>63</v>
      </c>
      <c r="AI95" s="159" t="s">
        <v>64</v>
      </c>
      <c r="AJ95" s="159" t="s">
        <v>64</v>
      </c>
      <c r="AK95" s="197" t="s">
        <v>64</v>
      </c>
    </row>
    <row r="96" spans="1:41" ht="84.75" customHeight="1" thickBot="1" x14ac:dyDescent="0.25">
      <c r="A96" s="1"/>
      <c r="B96" s="196" t="s">
        <v>240</v>
      </c>
      <c r="C96" s="143">
        <v>1327</v>
      </c>
      <c r="D96" s="143" t="s">
        <v>300</v>
      </c>
      <c r="E96" s="143" t="s">
        <v>305</v>
      </c>
      <c r="F96" s="175" t="s">
        <v>123</v>
      </c>
      <c r="G96" s="175" t="s">
        <v>124</v>
      </c>
      <c r="H96" s="175" t="s">
        <v>306</v>
      </c>
      <c r="I96" s="176">
        <v>60000000</v>
      </c>
      <c r="J96" s="177" t="s">
        <v>60</v>
      </c>
      <c r="K96" s="177" t="s">
        <v>48</v>
      </c>
      <c r="L96" s="178" t="s">
        <v>307</v>
      </c>
      <c r="M96" s="143">
        <v>83121700</v>
      </c>
      <c r="N96" s="145" t="str">
        <f t="shared" si="9"/>
        <v>Prestar el servicio para la emisión de 13 capítulos del programa institucional "Historias con Futuro" de la Universidad Pedagógica Nacional por Canal Institucional de RTVC.</v>
      </c>
      <c r="O96" s="146">
        <v>1</v>
      </c>
      <c r="P96" s="146">
        <v>1</v>
      </c>
      <c r="Q96" s="147">
        <v>11</v>
      </c>
      <c r="R96" s="148" t="s">
        <v>51</v>
      </c>
      <c r="S96" s="149" t="s">
        <v>308</v>
      </c>
      <c r="T96" s="150" t="s">
        <v>53</v>
      </c>
      <c r="U96" s="151">
        <f t="shared" si="7"/>
        <v>60000000</v>
      </c>
      <c r="V96" s="152">
        <f t="shared" si="8"/>
        <v>60000000</v>
      </c>
      <c r="W96" s="153" t="s">
        <v>54</v>
      </c>
      <c r="X96" s="153" t="s">
        <v>55</v>
      </c>
      <c r="Y96" s="154" t="s">
        <v>56</v>
      </c>
      <c r="Z96" s="155" t="s">
        <v>57</v>
      </c>
      <c r="AA96" s="156" t="s">
        <v>240</v>
      </c>
      <c r="AB96" s="157" t="s">
        <v>58</v>
      </c>
      <c r="AC96" s="158" t="s">
        <v>59</v>
      </c>
      <c r="AD96" s="153" t="s">
        <v>54</v>
      </c>
      <c r="AE96" s="153" t="s">
        <v>60</v>
      </c>
      <c r="AF96" s="159" t="s">
        <v>61</v>
      </c>
      <c r="AG96" s="159" t="s">
        <v>62</v>
      </c>
      <c r="AH96" s="159" t="s">
        <v>63</v>
      </c>
      <c r="AI96" s="159" t="s">
        <v>64</v>
      </c>
      <c r="AJ96" s="159" t="s">
        <v>64</v>
      </c>
      <c r="AK96" s="197" t="s">
        <v>64</v>
      </c>
    </row>
    <row r="97" spans="1:37" ht="84.75" customHeight="1" thickBot="1" x14ac:dyDescent="0.25">
      <c r="A97" s="1"/>
      <c r="B97" s="196" t="s">
        <v>309</v>
      </c>
      <c r="C97" s="143">
        <v>1326</v>
      </c>
      <c r="D97" s="143" t="s">
        <v>310</v>
      </c>
      <c r="E97" s="143" t="s">
        <v>311</v>
      </c>
      <c r="F97" s="175" t="s">
        <v>123</v>
      </c>
      <c r="G97" s="175" t="s">
        <v>124</v>
      </c>
      <c r="H97" s="175" t="s">
        <v>312</v>
      </c>
      <c r="I97" s="176">
        <v>7839244</v>
      </c>
      <c r="J97" s="177" t="s">
        <v>60</v>
      </c>
      <c r="K97" s="177" t="s">
        <v>48</v>
      </c>
      <c r="L97" s="178" t="s">
        <v>313</v>
      </c>
      <c r="M97" s="143">
        <v>55101500</v>
      </c>
      <c r="N97" s="145" t="str">
        <f t="shared" si="9"/>
        <v>Prestar el servicio para publicar los actos administrativos de carácter general dentro de las fechas
establecidas para cada actuación, en cumplimiento al artículo 65 de la ley 1437 de 2011.</v>
      </c>
      <c r="O97" s="146">
        <v>1</v>
      </c>
      <c r="P97" s="146">
        <v>1</v>
      </c>
      <c r="Q97" s="147">
        <v>11</v>
      </c>
      <c r="R97" s="148" t="s">
        <v>51</v>
      </c>
      <c r="S97" s="149" t="s">
        <v>314</v>
      </c>
      <c r="T97" s="150" t="s">
        <v>53</v>
      </c>
      <c r="U97" s="151">
        <f t="shared" si="7"/>
        <v>7839244</v>
      </c>
      <c r="V97" s="152">
        <f t="shared" si="8"/>
        <v>7839244</v>
      </c>
      <c r="W97" s="153" t="s">
        <v>54</v>
      </c>
      <c r="X97" s="153" t="s">
        <v>55</v>
      </c>
      <c r="Y97" s="154" t="s">
        <v>56</v>
      </c>
      <c r="Z97" s="155" t="s">
        <v>57</v>
      </c>
      <c r="AA97" s="156" t="s">
        <v>315</v>
      </c>
      <c r="AB97" s="157" t="s">
        <v>58</v>
      </c>
      <c r="AC97" s="158" t="s">
        <v>59</v>
      </c>
      <c r="AD97" s="153" t="s">
        <v>54</v>
      </c>
      <c r="AE97" s="153" t="s">
        <v>60</v>
      </c>
      <c r="AF97" s="159" t="s">
        <v>61</v>
      </c>
      <c r="AG97" s="159" t="s">
        <v>62</v>
      </c>
      <c r="AH97" s="159" t="s">
        <v>63</v>
      </c>
      <c r="AI97" s="159" t="s">
        <v>64</v>
      </c>
      <c r="AJ97" s="159" t="s">
        <v>64</v>
      </c>
      <c r="AK97" s="197" t="s">
        <v>64</v>
      </c>
    </row>
    <row r="98" spans="1:37" ht="84.75" customHeight="1" thickBot="1" x14ac:dyDescent="0.25">
      <c r="A98" s="1"/>
      <c r="B98" s="196" t="s">
        <v>42</v>
      </c>
      <c r="C98" s="143">
        <v>1320</v>
      </c>
      <c r="D98" s="143" t="s">
        <v>150</v>
      </c>
      <c r="E98" s="143" t="s">
        <v>44</v>
      </c>
      <c r="F98" s="175" t="s">
        <v>123</v>
      </c>
      <c r="G98" s="175" t="s">
        <v>124</v>
      </c>
      <c r="H98" s="175" t="s">
        <v>316</v>
      </c>
      <c r="I98" s="176">
        <v>25000000</v>
      </c>
      <c r="J98" s="177" t="s">
        <v>60</v>
      </c>
      <c r="K98" s="177" t="s">
        <v>48</v>
      </c>
      <c r="L98" s="178" t="s">
        <v>317</v>
      </c>
      <c r="M98" s="143">
        <v>72101500</v>
      </c>
      <c r="N98" s="145" t="str">
        <f t="shared" si="9"/>
        <v>Realizar la recarga y mantenimiento de los equipos de extinción de incendios que se encuentran en las diferentes instalaciones de la Universidad Pedagógica Nacional.</v>
      </c>
      <c r="O98" s="146">
        <v>1</v>
      </c>
      <c r="P98" s="146">
        <v>1</v>
      </c>
      <c r="Q98" s="147">
        <v>11</v>
      </c>
      <c r="R98" s="148" t="s">
        <v>51</v>
      </c>
      <c r="S98" s="149" t="s">
        <v>318</v>
      </c>
      <c r="T98" s="150" t="s">
        <v>53</v>
      </c>
      <c r="U98" s="151">
        <f t="shared" si="7"/>
        <v>25000000</v>
      </c>
      <c r="V98" s="152">
        <f t="shared" si="8"/>
        <v>25000000</v>
      </c>
      <c r="W98" s="153" t="s">
        <v>54</v>
      </c>
      <c r="X98" s="153" t="s">
        <v>55</v>
      </c>
      <c r="Y98" s="154" t="s">
        <v>56</v>
      </c>
      <c r="Z98" s="155" t="s">
        <v>57</v>
      </c>
      <c r="AA98" s="156" t="s">
        <v>42</v>
      </c>
      <c r="AB98" s="157" t="s">
        <v>58</v>
      </c>
      <c r="AC98" s="158" t="s">
        <v>59</v>
      </c>
      <c r="AD98" s="153" t="s">
        <v>54</v>
      </c>
      <c r="AE98" s="153" t="s">
        <v>60</v>
      </c>
      <c r="AF98" s="159" t="s">
        <v>61</v>
      </c>
      <c r="AG98" s="159" t="s">
        <v>62</v>
      </c>
      <c r="AH98" s="159" t="s">
        <v>63</v>
      </c>
      <c r="AI98" s="159" t="s">
        <v>64</v>
      </c>
      <c r="AJ98" s="159" t="s">
        <v>64</v>
      </c>
      <c r="AK98" s="197" t="s">
        <v>64</v>
      </c>
    </row>
    <row r="99" spans="1:37" ht="84.75" customHeight="1" thickBot="1" x14ac:dyDescent="0.25">
      <c r="A99" s="1"/>
      <c r="B99" s="196" t="s">
        <v>42</v>
      </c>
      <c r="C99" s="143">
        <v>1320</v>
      </c>
      <c r="D99" s="143" t="s">
        <v>150</v>
      </c>
      <c r="E99" s="143" t="s">
        <v>44</v>
      </c>
      <c r="F99" s="175" t="s">
        <v>123</v>
      </c>
      <c r="G99" s="175" t="s">
        <v>124</v>
      </c>
      <c r="H99" s="175" t="s">
        <v>319</v>
      </c>
      <c r="I99" s="176">
        <v>49140000</v>
      </c>
      <c r="J99" s="177" t="s">
        <v>60</v>
      </c>
      <c r="K99" s="177" t="s">
        <v>48</v>
      </c>
      <c r="L99" s="178" t="s">
        <v>320</v>
      </c>
      <c r="M99" s="143" t="s">
        <v>321</v>
      </c>
      <c r="N99" s="145" t="str">
        <f t="shared" si="9"/>
        <v>Realizar el mantenimiento preventivo y correctivo de las calderas del restaurante y la piscina de la Universidad Pedagógica Nacional.</v>
      </c>
      <c r="O99" s="146">
        <v>1</v>
      </c>
      <c r="P99" s="146">
        <v>1</v>
      </c>
      <c r="Q99" s="147">
        <v>11</v>
      </c>
      <c r="R99" s="148" t="s">
        <v>51</v>
      </c>
      <c r="S99" s="149" t="s">
        <v>322</v>
      </c>
      <c r="T99" s="150" t="s">
        <v>53</v>
      </c>
      <c r="U99" s="151">
        <f t="shared" si="7"/>
        <v>49140000</v>
      </c>
      <c r="V99" s="152">
        <f t="shared" si="8"/>
        <v>49140000</v>
      </c>
      <c r="W99" s="153" t="s">
        <v>54</v>
      </c>
      <c r="X99" s="153" t="s">
        <v>55</v>
      </c>
      <c r="Y99" s="154" t="s">
        <v>56</v>
      </c>
      <c r="Z99" s="155" t="s">
        <v>57</v>
      </c>
      <c r="AA99" s="156" t="s">
        <v>42</v>
      </c>
      <c r="AB99" s="157" t="s">
        <v>58</v>
      </c>
      <c r="AC99" s="158" t="s">
        <v>59</v>
      </c>
      <c r="AD99" s="153" t="s">
        <v>54</v>
      </c>
      <c r="AE99" s="153" t="s">
        <v>60</v>
      </c>
      <c r="AF99" s="159" t="s">
        <v>61</v>
      </c>
      <c r="AG99" s="159" t="s">
        <v>62</v>
      </c>
      <c r="AH99" s="159" t="s">
        <v>63</v>
      </c>
      <c r="AI99" s="159" t="s">
        <v>64</v>
      </c>
      <c r="AJ99" s="159" t="s">
        <v>64</v>
      </c>
      <c r="AK99" s="197" t="s">
        <v>64</v>
      </c>
    </row>
    <row r="100" spans="1:37" ht="84.75" customHeight="1" thickBot="1" x14ac:dyDescent="0.25">
      <c r="A100" s="1"/>
      <c r="B100" s="196" t="s">
        <v>42</v>
      </c>
      <c r="C100" s="143">
        <v>1320</v>
      </c>
      <c r="D100" s="143" t="s">
        <v>150</v>
      </c>
      <c r="E100" s="143" t="s">
        <v>44</v>
      </c>
      <c r="F100" s="175" t="s">
        <v>123</v>
      </c>
      <c r="G100" s="175" t="s">
        <v>124</v>
      </c>
      <c r="H100" s="175" t="s">
        <v>323</v>
      </c>
      <c r="I100" s="176">
        <v>21840000</v>
      </c>
      <c r="J100" s="177" t="s">
        <v>60</v>
      </c>
      <c r="K100" s="177" t="s">
        <v>48</v>
      </c>
      <c r="L100" s="178" t="s">
        <v>324</v>
      </c>
      <c r="M100" s="143" t="s">
        <v>325</v>
      </c>
      <c r="N100" s="145" t="str">
        <f t="shared" si="9"/>
        <v>Realizar el mantenimiento preventivo y correctivo de los aires acondicionados de las diferentes instalaciones de la Universidad Pedagógica Nacional.</v>
      </c>
      <c r="O100" s="146">
        <v>1</v>
      </c>
      <c r="P100" s="146">
        <v>1</v>
      </c>
      <c r="Q100" s="147">
        <v>11</v>
      </c>
      <c r="R100" s="148" t="s">
        <v>51</v>
      </c>
      <c r="S100" s="149" t="s">
        <v>326</v>
      </c>
      <c r="T100" s="150" t="s">
        <v>53</v>
      </c>
      <c r="U100" s="151">
        <f t="shared" si="7"/>
        <v>21840000</v>
      </c>
      <c r="V100" s="152">
        <f t="shared" si="8"/>
        <v>21840000</v>
      </c>
      <c r="W100" s="153" t="s">
        <v>54</v>
      </c>
      <c r="X100" s="153" t="s">
        <v>55</v>
      </c>
      <c r="Y100" s="154" t="s">
        <v>56</v>
      </c>
      <c r="Z100" s="155" t="s">
        <v>57</v>
      </c>
      <c r="AA100" s="156" t="s">
        <v>42</v>
      </c>
      <c r="AB100" s="157" t="s">
        <v>58</v>
      </c>
      <c r="AC100" s="158" t="s">
        <v>59</v>
      </c>
      <c r="AD100" s="153" t="s">
        <v>54</v>
      </c>
      <c r="AE100" s="153" t="s">
        <v>60</v>
      </c>
      <c r="AF100" s="159" t="s">
        <v>61</v>
      </c>
      <c r="AG100" s="159" t="s">
        <v>62</v>
      </c>
      <c r="AH100" s="159" t="s">
        <v>63</v>
      </c>
      <c r="AI100" s="159" t="s">
        <v>64</v>
      </c>
      <c r="AJ100" s="159" t="s">
        <v>64</v>
      </c>
      <c r="AK100" s="197" t="s">
        <v>64</v>
      </c>
    </row>
    <row r="101" spans="1:37" ht="84.75" customHeight="1" thickBot="1" x14ac:dyDescent="0.25">
      <c r="A101" s="1"/>
      <c r="B101" s="196" t="s">
        <v>42</v>
      </c>
      <c r="C101" s="143">
        <v>1320</v>
      </c>
      <c r="D101" s="143" t="s">
        <v>150</v>
      </c>
      <c r="E101" s="143" t="s">
        <v>44</v>
      </c>
      <c r="F101" s="175" t="s">
        <v>123</v>
      </c>
      <c r="G101" s="175" t="s">
        <v>124</v>
      </c>
      <c r="H101" s="175" t="s">
        <v>327</v>
      </c>
      <c r="I101" s="176">
        <f>30000000-(25472497+3440000)</f>
        <v>1087503</v>
      </c>
      <c r="J101" s="177" t="s">
        <v>60</v>
      </c>
      <c r="K101" s="177" t="s">
        <v>48</v>
      </c>
      <c r="L101" s="178" t="s">
        <v>328</v>
      </c>
      <c r="M101" s="143" t="s">
        <v>329</v>
      </c>
      <c r="N101" s="145" t="str">
        <f t="shared" si="9"/>
        <v>Realizar el mantenimiento preventivo y correctivo de las Plantas Eléctricas y UPS de las diferentes instalaciones  de la Universidad Pedagógica Nacional.</v>
      </c>
      <c r="O101" s="146">
        <v>1</v>
      </c>
      <c r="P101" s="146">
        <v>1</v>
      </c>
      <c r="Q101" s="147">
        <v>11</v>
      </c>
      <c r="R101" s="148" t="s">
        <v>51</v>
      </c>
      <c r="S101" s="149" t="s">
        <v>330</v>
      </c>
      <c r="T101" s="150" t="s">
        <v>53</v>
      </c>
      <c r="U101" s="151">
        <f t="shared" si="7"/>
        <v>1087503</v>
      </c>
      <c r="V101" s="152">
        <f t="shared" si="8"/>
        <v>1087503</v>
      </c>
      <c r="W101" s="153" t="s">
        <v>54</v>
      </c>
      <c r="X101" s="153" t="s">
        <v>55</v>
      </c>
      <c r="Y101" s="154" t="s">
        <v>56</v>
      </c>
      <c r="Z101" s="155" t="s">
        <v>57</v>
      </c>
      <c r="AA101" s="156" t="s">
        <v>42</v>
      </c>
      <c r="AB101" s="157" t="s">
        <v>58</v>
      </c>
      <c r="AC101" s="158" t="s">
        <v>59</v>
      </c>
      <c r="AD101" s="153" t="s">
        <v>54</v>
      </c>
      <c r="AE101" s="153" t="s">
        <v>60</v>
      </c>
      <c r="AF101" s="159" t="s">
        <v>61</v>
      </c>
      <c r="AG101" s="159" t="s">
        <v>62</v>
      </c>
      <c r="AH101" s="159" t="s">
        <v>63</v>
      </c>
      <c r="AI101" s="159" t="s">
        <v>64</v>
      </c>
      <c r="AJ101" s="159" t="s">
        <v>64</v>
      </c>
      <c r="AK101" s="197" t="s">
        <v>64</v>
      </c>
    </row>
    <row r="102" spans="1:37" ht="84.75" customHeight="1" thickBot="1" x14ac:dyDescent="0.25">
      <c r="A102" s="1"/>
      <c r="B102" s="196" t="s">
        <v>42</v>
      </c>
      <c r="C102" s="143">
        <v>1320</v>
      </c>
      <c r="D102" s="143" t="s">
        <v>150</v>
      </c>
      <c r="E102" s="143" t="s">
        <v>44</v>
      </c>
      <c r="F102" s="175" t="s">
        <v>123</v>
      </c>
      <c r="G102" s="175" t="s">
        <v>124</v>
      </c>
      <c r="H102" s="175" t="s">
        <v>331</v>
      </c>
      <c r="I102" s="176">
        <v>32760000</v>
      </c>
      <c r="J102" s="177" t="s">
        <v>48</v>
      </c>
      <c r="K102" s="177" t="s">
        <v>48</v>
      </c>
      <c r="L102" s="178" t="s">
        <v>332</v>
      </c>
      <c r="M102" s="143">
        <v>70171700</v>
      </c>
      <c r="N102" s="145" t="str">
        <f t="shared" si="9"/>
        <v>Realizar la limpieza y mantenimiento de las trampas de grasa, pozos sépticos, cajas de inspección y redes de aguas negras de las diferentes instalaciones de la Universidad Pedagógica Nacional.</v>
      </c>
      <c r="O102" s="146">
        <v>1</v>
      </c>
      <c r="P102" s="146">
        <v>1</v>
      </c>
      <c r="Q102" s="147">
        <v>11</v>
      </c>
      <c r="R102" s="148" t="s">
        <v>51</v>
      </c>
      <c r="S102" s="149" t="s">
        <v>333</v>
      </c>
      <c r="T102" s="150" t="s">
        <v>53</v>
      </c>
      <c r="U102" s="151">
        <f t="shared" si="7"/>
        <v>32760000</v>
      </c>
      <c r="V102" s="152">
        <f t="shared" si="8"/>
        <v>32760000</v>
      </c>
      <c r="W102" s="153" t="s">
        <v>54</v>
      </c>
      <c r="X102" s="153" t="s">
        <v>55</v>
      </c>
      <c r="Y102" s="154" t="s">
        <v>56</v>
      </c>
      <c r="Z102" s="155" t="s">
        <v>57</v>
      </c>
      <c r="AA102" s="156" t="s">
        <v>42</v>
      </c>
      <c r="AB102" s="157" t="s">
        <v>58</v>
      </c>
      <c r="AC102" s="158" t="s">
        <v>59</v>
      </c>
      <c r="AD102" s="153" t="s">
        <v>54</v>
      </c>
      <c r="AE102" s="153" t="s">
        <v>60</v>
      </c>
      <c r="AF102" s="159" t="s">
        <v>61</v>
      </c>
      <c r="AG102" s="159" t="s">
        <v>62</v>
      </c>
      <c r="AH102" s="159" t="s">
        <v>63</v>
      </c>
      <c r="AI102" s="159" t="s">
        <v>64</v>
      </c>
      <c r="AJ102" s="159" t="s">
        <v>64</v>
      </c>
      <c r="AK102" s="197" t="s">
        <v>64</v>
      </c>
    </row>
    <row r="103" spans="1:37" ht="84.75" customHeight="1" thickBot="1" x14ac:dyDescent="0.25">
      <c r="A103" s="1"/>
      <c r="B103" s="196" t="s">
        <v>42</v>
      </c>
      <c r="C103" s="143">
        <v>1320</v>
      </c>
      <c r="D103" s="143" t="s">
        <v>150</v>
      </c>
      <c r="E103" s="143" t="s">
        <v>44</v>
      </c>
      <c r="F103" s="175" t="s">
        <v>123</v>
      </c>
      <c r="G103" s="175" t="s">
        <v>124</v>
      </c>
      <c r="H103" s="175" t="s">
        <v>334</v>
      </c>
      <c r="I103" s="176">
        <v>50000000</v>
      </c>
      <c r="J103" s="177" t="s">
        <v>60</v>
      </c>
      <c r="K103" s="177" t="s">
        <v>48</v>
      </c>
      <c r="L103" s="178" t="s">
        <v>335</v>
      </c>
      <c r="M103" s="143">
        <v>72101500</v>
      </c>
      <c r="N103" s="145" t="str">
        <f t="shared" si="9"/>
        <v>Realizar mantenimiento de los equipos de hidropresión de las diferentes instalaciones de la UPN</v>
      </c>
      <c r="O103" s="146">
        <v>1</v>
      </c>
      <c r="P103" s="146">
        <v>1</v>
      </c>
      <c r="Q103" s="147">
        <v>11</v>
      </c>
      <c r="R103" s="148" t="s">
        <v>51</v>
      </c>
      <c r="S103" s="149" t="s">
        <v>336</v>
      </c>
      <c r="T103" s="150" t="s">
        <v>53</v>
      </c>
      <c r="U103" s="151">
        <f t="shared" si="7"/>
        <v>50000000</v>
      </c>
      <c r="V103" s="152">
        <f t="shared" si="8"/>
        <v>50000000</v>
      </c>
      <c r="W103" s="153" t="s">
        <v>54</v>
      </c>
      <c r="X103" s="153" t="s">
        <v>55</v>
      </c>
      <c r="Y103" s="154" t="s">
        <v>56</v>
      </c>
      <c r="Z103" s="155" t="s">
        <v>57</v>
      </c>
      <c r="AA103" s="156" t="s">
        <v>42</v>
      </c>
      <c r="AB103" s="157" t="s">
        <v>58</v>
      </c>
      <c r="AC103" s="158" t="s">
        <v>59</v>
      </c>
      <c r="AD103" s="153" t="s">
        <v>54</v>
      </c>
      <c r="AE103" s="153" t="s">
        <v>60</v>
      </c>
      <c r="AF103" s="159" t="s">
        <v>61</v>
      </c>
      <c r="AG103" s="159" t="s">
        <v>62</v>
      </c>
      <c r="AH103" s="159" t="s">
        <v>63</v>
      </c>
      <c r="AI103" s="159" t="s">
        <v>64</v>
      </c>
      <c r="AJ103" s="159" t="s">
        <v>64</v>
      </c>
      <c r="AK103" s="197" t="s">
        <v>64</v>
      </c>
    </row>
    <row r="104" spans="1:37" ht="84.75" customHeight="1" thickBot="1" x14ac:dyDescent="0.25">
      <c r="A104" s="1"/>
      <c r="B104" s="196" t="s">
        <v>42</v>
      </c>
      <c r="C104" s="143">
        <v>1320</v>
      </c>
      <c r="D104" s="143" t="s">
        <v>150</v>
      </c>
      <c r="E104" s="143" t="s">
        <v>44</v>
      </c>
      <c r="F104" s="175" t="s">
        <v>123</v>
      </c>
      <c r="G104" s="175" t="s">
        <v>124</v>
      </c>
      <c r="H104" s="175" t="s">
        <v>337</v>
      </c>
      <c r="I104" s="176">
        <v>56784000</v>
      </c>
      <c r="J104" s="177" t="s">
        <v>60</v>
      </c>
      <c r="K104" s="177" t="s">
        <v>48</v>
      </c>
      <c r="L104" s="178" t="s">
        <v>338</v>
      </c>
      <c r="M104" s="143" t="s">
        <v>339</v>
      </c>
      <c r="N104" s="145" t="str">
        <f t="shared" si="9"/>
        <v>Realizar el control integrado de Plagas de las diferentes instalaciones de la Universidad Pedagógica Nacional</v>
      </c>
      <c r="O104" s="146">
        <v>1</v>
      </c>
      <c r="P104" s="146">
        <v>1</v>
      </c>
      <c r="Q104" s="147">
        <v>11</v>
      </c>
      <c r="R104" s="148" t="s">
        <v>51</v>
      </c>
      <c r="S104" s="149" t="s">
        <v>340</v>
      </c>
      <c r="T104" s="150" t="s">
        <v>53</v>
      </c>
      <c r="U104" s="151">
        <f t="shared" si="7"/>
        <v>56784000</v>
      </c>
      <c r="V104" s="152">
        <f t="shared" si="8"/>
        <v>56784000</v>
      </c>
      <c r="W104" s="153" t="s">
        <v>54</v>
      </c>
      <c r="X104" s="153" t="s">
        <v>55</v>
      </c>
      <c r="Y104" s="154" t="s">
        <v>56</v>
      </c>
      <c r="Z104" s="155" t="s">
        <v>57</v>
      </c>
      <c r="AA104" s="156" t="s">
        <v>42</v>
      </c>
      <c r="AB104" s="157" t="s">
        <v>58</v>
      </c>
      <c r="AC104" s="158" t="s">
        <v>59</v>
      </c>
      <c r="AD104" s="153" t="s">
        <v>54</v>
      </c>
      <c r="AE104" s="153" t="s">
        <v>60</v>
      </c>
      <c r="AF104" s="159" t="s">
        <v>61</v>
      </c>
      <c r="AG104" s="159" t="s">
        <v>62</v>
      </c>
      <c r="AH104" s="159" t="s">
        <v>63</v>
      </c>
      <c r="AI104" s="159" t="s">
        <v>64</v>
      </c>
      <c r="AJ104" s="159" t="s">
        <v>64</v>
      </c>
      <c r="AK104" s="197" t="s">
        <v>64</v>
      </c>
    </row>
    <row r="105" spans="1:37" ht="84.75" customHeight="1" thickBot="1" x14ac:dyDescent="0.25">
      <c r="A105" s="1"/>
      <c r="B105" s="196" t="s">
        <v>42</v>
      </c>
      <c r="C105" s="143">
        <v>1320</v>
      </c>
      <c r="D105" s="143" t="s">
        <v>150</v>
      </c>
      <c r="E105" s="143" t="s">
        <v>44</v>
      </c>
      <c r="F105" s="175" t="s">
        <v>123</v>
      </c>
      <c r="G105" s="175" t="s">
        <v>124</v>
      </c>
      <c r="H105" s="175" t="s">
        <v>341</v>
      </c>
      <c r="I105" s="176">
        <v>30000000</v>
      </c>
      <c r="J105" s="177" t="s">
        <v>60</v>
      </c>
      <c r="K105" s="177" t="s">
        <v>48</v>
      </c>
      <c r="L105" s="178" t="s">
        <v>342</v>
      </c>
      <c r="M105" s="143" t="s">
        <v>343</v>
      </c>
      <c r="N105" s="145" t="str">
        <f t="shared" si="9"/>
        <v>Realizar el mantenimiento preventivo y correctivo de los ascensores y equipos de transporte vertical  de las diferentes instalaciones de la Universidad Pedagógica Nacional.</v>
      </c>
      <c r="O105" s="146">
        <v>1</v>
      </c>
      <c r="P105" s="146">
        <v>1</v>
      </c>
      <c r="Q105" s="147">
        <v>11</v>
      </c>
      <c r="R105" s="148" t="s">
        <v>51</v>
      </c>
      <c r="S105" s="149" t="s">
        <v>344</v>
      </c>
      <c r="T105" s="150" t="s">
        <v>53</v>
      </c>
      <c r="U105" s="151">
        <f t="shared" si="7"/>
        <v>30000000</v>
      </c>
      <c r="V105" s="152">
        <f t="shared" si="8"/>
        <v>30000000</v>
      </c>
      <c r="W105" s="153" t="s">
        <v>54</v>
      </c>
      <c r="X105" s="153" t="s">
        <v>55</v>
      </c>
      <c r="Y105" s="154" t="s">
        <v>56</v>
      </c>
      <c r="Z105" s="155" t="s">
        <v>57</v>
      </c>
      <c r="AA105" s="156" t="s">
        <v>42</v>
      </c>
      <c r="AB105" s="157" t="s">
        <v>58</v>
      </c>
      <c r="AC105" s="158" t="s">
        <v>59</v>
      </c>
      <c r="AD105" s="153" t="s">
        <v>54</v>
      </c>
      <c r="AE105" s="153" t="s">
        <v>60</v>
      </c>
      <c r="AF105" s="159" t="s">
        <v>61</v>
      </c>
      <c r="AG105" s="159" t="s">
        <v>62</v>
      </c>
      <c r="AH105" s="159" t="s">
        <v>63</v>
      </c>
      <c r="AI105" s="159" t="s">
        <v>64</v>
      </c>
      <c r="AJ105" s="159" t="s">
        <v>64</v>
      </c>
      <c r="AK105" s="197" t="s">
        <v>64</v>
      </c>
    </row>
    <row r="106" spans="1:37" ht="84.75" customHeight="1" thickBot="1" x14ac:dyDescent="0.25">
      <c r="A106" s="1"/>
      <c r="B106" s="196" t="s">
        <v>42</v>
      </c>
      <c r="C106" s="143">
        <v>1320</v>
      </c>
      <c r="D106" s="143" t="s">
        <v>150</v>
      </c>
      <c r="E106" s="143" t="s">
        <v>44</v>
      </c>
      <c r="F106" s="175" t="s">
        <v>123</v>
      </c>
      <c r="G106" s="175" t="s">
        <v>345</v>
      </c>
      <c r="H106" s="175" t="s">
        <v>346</v>
      </c>
      <c r="I106" s="176">
        <v>35846603</v>
      </c>
      <c r="J106" s="177" t="s">
        <v>60</v>
      </c>
      <c r="K106" s="177" t="s">
        <v>48</v>
      </c>
      <c r="L106" s="178" t="s">
        <v>347</v>
      </c>
      <c r="M106" s="143">
        <v>76121700</v>
      </c>
      <c r="N106" s="145" t="str">
        <f t="shared" si="9"/>
        <v>Realizar el lavado de tanques de agua potable y el análisis físico-químico, biológico e IRCA de agua cruda para consumo de las diferentes instalaciones de la Universidad Pedagógica Nacional.</v>
      </c>
      <c r="O106" s="146">
        <v>1</v>
      </c>
      <c r="P106" s="146">
        <v>1</v>
      </c>
      <c r="Q106" s="147">
        <v>11</v>
      </c>
      <c r="R106" s="148" t="s">
        <v>51</v>
      </c>
      <c r="S106" s="149" t="s">
        <v>348</v>
      </c>
      <c r="T106" s="150" t="s">
        <v>53</v>
      </c>
      <c r="U106" s="151">
        <f t="shared" si="7"/>
        <v>35846603</v>
      </c>
      <c r="V106" s="152">
        <f t="shared" si="8"/>
        <v>35846603</v>
      </c>
      <c r="W106" s="153" t="s">
        <v>54</v>
      </c>
      <c r="X106" s="153" t="s">
        <v>55</v>
      </c>
      <c r="Y106" s="154" t="s">
        <v>56</v>
      </c>
      <c r="Z106" s="155" t="s">
        <v>57</v>
      </c>
      <c r="AA106" s="156" t="s">
        <v>42</v>
      </c>
      <c r="AB106" s="157" t="s">
        <v>58</v>
      </c>
      <c r="AC106" s="158" t="s">
        <v>59</v>
      </c>
      <c r="AD106" s="153" t="s">
        <v>54</v>
      </c>
      <c r="AE106" s="153" t="s">
        <v>60</v>
      </c>
      <c r="AF106" s="159" t="s">
        <v>61</v>
      </c>
      <c r="AG106" s="159" t="s">
        <v>62</v>
      </c>
      <c r="AH106" s="159" t="s">
        <v>63</v>
      </c>
      <c r="AI106" s="159" t="s">
        <v>64</v>
      </c>
      <c r="AJ106" s="159" t="s">
        <v>64</v>
      </c>
      <c r="AK106" s="197" t="s">
        <v>64</v>
      </c>
    </row>
    <row r="107" spans="1:37" ht="84.75" customHeight="1" thickBot="1" x14ac:dyDescent="0.25">
      <c r="A107" s="1"/>
      <c r="B107" s="196" t="s">
        <v>42</v>
      </c>
      <c r="C107" s="143">
        <v>1510</v>
      </c>
      <c r="D107" s="143" t="s">
        <v>203</v>
      </c>
      <c r="E107" s="143" t="s">
        <v>349</v>
      </c>
      <c r="F107" s="175" t="s">
        <v>123</v>
      </c>
      <c r="G107" s="175" t="s">
        <v>124</v>
      </c>
      <c r="H107" s="175" t="s">
        <v>350</v>
      </c>
      <c r="I107" s="176">
        <f>456237-456237</f>
        <v>0</v>
      </c>
      <c r="J107" s="177" t="s">
        <v>48</v>
      </c>
      <c r="K107" s="177" t="s">
        <v>48</v>
      </c>
      <c r="L107" s="178" t="s">
        <v>351</v>
      </c>
      <c r="M107" s="143" t="s">
        <v>352</v>
      </c>
      <c r="N107" s="145" t="str">
        <f t="shared" si="9"/>
        <v xml:space="preserve">Prestar el servicio para el mantenimiento preventivo y calibración de los equipos biomédicos de la Universidad Pedagógica nacional </v>
      </c>
      <c r="O107" s="146">
        <v>1</v>
      </c>
      <c r="P107" s="146">
        <v>1</v>
      </c>
      <c r="Q107" s="147">
        <v>11</v>
      </c>
      <c r="R107" s="148" t="s">
        <v>51</v>
      </c>
      <c r="S107" s="149" t="s">
        <v>353</v>
      </c>
      <c r="T107" s="150" t="s">
        <v>53</v>
      </c>
      <c r="U107" s="151">
        <f t="shared" si="7"/>
        <v>0</v>
      </c>
      <c r="V107" s="152">
        <f t="shared" si="8"/>
        <v>0</v>
      </c>
      <c r="W107" s="153" t="s">
        <v>54</v>
      </c>
      <c r="X107" s="153" t="s">
        <v>55</v>
      </c>
      <c r="Y107" s="154" t="s">
        <v>56</v>
      </c>
      <c r="Z107" s="155" t="s">
        <v>57</v>
      </c>
      <c r="AA107" s="156" t="s">
        <v>42</v>
      </c>
      <c r="AB107" s="157" t="s">
        <v>58</v>
      </c>
      <c r="AC107" s="158" t="s">
        <v>59</v>
      </c>
      <c r="AD107" s="153" t="s">
        <v>54</v>
      </c>
      <c r="AE107" s="153" t="s">
        <v>60</v>
      </c>
      <c r="AF107" s="159" t="s">
        <v>61</v>
      </c>
      <c r="AG107" s="159" t="s">
        <v>62</v>
      </c>
      <c r="AH107" s="159" t="s">
        <v>63</v>
      </c>
      <c r="AI107" s="159" t="s">
        <v>64</v>
      </c>
      <c r="AJ107" s="159" t="s">
        <v>64</v>
      </c>
      <c r="AK107" s="197" t="s">
        <v>64</v>
      </c>
    </row>
    <row r="108" spans="1:37" ht="84.75" customHeight="1" thickBot="1" x14ac:dyDescent="0.25">
      <c r="A108" s="1"/>
      <c r="B108" s="196" t="s">
        <v>42</v>
      </c>
      <c r="C108" s="143">
        <v>1321</v>
      </c>
      <c r="D108" s="143" t="s">
        <v>140</v>
      </c>
      <c r="E108" s="143" t="s">
        <v>141</v>
      </c>
      <c r="F108" s="175" t="s">
        <v>123</v>
      </c>
      <c r="G108" s="175" t="s">
        <v>124</v>
      </c>
      <c r="H108" s="175" t="s">
        <v>354</v>
      </c>
      <c r="I108" s="176">
        <v>4800000</v>
      </c>
      <c r="J108" s="177" t="s">
        <v>60</v>
      </c>
      <c r="K108" s="177" t="s">
        <v>54</v>
      </c>
      <c r="L108" s="178" t="s">
        <v>355</v>
      </c>
      <c r="M108" s="143" t="s">
        <v>356</v>
      </c>
      <c r="N108" s="145" t="str">
        <f t="shared" si="9"/>
        <v xml:space="preserve">Prestar el servicio para realizar los análisis fisicoquímicos y microbiológicos del agua de la piscina de calle 72.  </v>
      </c>
      <c r="O108" s="146">
        <v>1</v>
      </c>
      <c r="P108" s="146">
        <v>1</v>
      </c>
      <c r="Q108" s="147">
        <v>11</v>
      </c>
      <c r="R108" s="148" t="s">
        <v>51</v>
      </c>
      <c r="S108" s="149" t="s">
        <v>357</v>
      </c>
      <c r="T108" s="150" t="s">
        <v>53</v>
      </c>
      <c r="U108" s="151">
        <f t="shared" si="7"/>
        <v>4800000</v>
      </c>
      <c r="V108" s="152">
        <f t="shared" si="8"/>
        <v>4800000</v>
      </c>
      <c r="W108" s="153" t="s">
        <v>54</v>
      </c>
      <c r="X108" s="153" t="s">
        <v>55</v>
      </c>
      <c r="Y108" s="154" t="s">
        <v>56</v>
      </c>
      <c r="Z108" s="155" t="s">
        <v>57</v>
      </c>
      <c r="AA108" s="156" t="s">
        <v>42</v>
      </c>
      <c r="AB108" s="157" t="s">
        <v>58</v>
      </c>
      <c r="AC108" s="158" t="s">
        <v>59</v>
      </c>
      <c r="AD108" s="153" t="s">
        <v>54</v>
      </c>
      <c r="AE108" s="153" t="s">
        <v>60</v>
      </c>
      <c r="AF108" s="159" t="s">
        <v>61</v>
      </c>
      <c r="AG108" s="159" t="s">
        <v>62</v>
      </c>
      <c r="AH108" s="159" t="s">
        <v>63</v>
      </c>
      <c r="AI108" s="159" t="s">
        <v>64</v>
      </c>
      <c r="AJ108" s="159" t="s">
        <v>64</v>
      </c>
      <c r="AK108" s="197" t="s">
        <v>64</v>
      </c>
    </row>
    <row r="109" spans="1:37" ht="84.75" customHeight="1" thickBot="1" x14ac:dyDescent="0.25">
      <c r="A109" s="1"/>
      <c r="B109" s="196" t="s">
        <v>42</v>
      </c>
      <c r="C109" s="143">
        <v>1320</v>
      </c>
      <c r="D109" s="143" t="s">
        <v>150</v>
      </c>
      <c r="E109" s="143" t="s">
        <v>44</v>
      </c>
      <c r="F109" s="175" t="s">
        <v>126</v>
      </c>
      <c r="G109" s="175" t="s">
        <v>127</v>
      </c>
      <c r="H109" s="175" t="s">
        <v>358</v>
      </c>
      <c r="I109" s="176">
        <v>15000000</v>
      </c>
      <c r="J109" s="177" t="s">
        <v>60</v>
      </c>
      <c r="K109" s="177" t="s">
        <v>48</v>
      </c>
      <c r="L109" s="178" t="s">
        <v>359</v>
      </c>
      <c r="M109" s="143" t="s">
        <v>360</v>
      </c>
      <c r="N109" s="145" t="str">
        <f t="shared" si="9"/>
        <v>Realizar la recolección, transporte y disposición final de los residuos especiales generados en las diferentes instalaciones de la UPN</v>
      </c>
      <c r="O109" s="146">
        <v>1</v>
      </c>
      <c r="P109" s="146">
        <v>1</v>
      </c>
      <c r="Q109" s="147">
        <v>11</v>
      </c>
      <c r="R109" s="148" t="s">
        <v>51</v>
      </c>
      <c r="S109" s="149" t="s">
        <v>361</v>
      </c>
      <c r="T109" s="150" t="s">
        <v>53</v>
      </c>
      <c r="U109" s="151">
        <f t="shared" si="7"/>
        <v>15000000</v>
      </c>
      <c r="V109" s="152">
        <f t="shared" si="8"/>
        <v>15000000</v>
      </c>
      <c r="W109" s="153" t="s">
        <v>54</v>
      </c>
      <c r="X109" s="153" t="s">
        <v>55</v>
      </c>
      <c r="Y109" s="154" t="s">
        <v>56</v>
      </c>
      <c r="Z109" s="155" t="s">
        <v>57</v>
      </c>
      <c r="AA109" s="156" t="s">
        <v>42</v>
      </c>
      <c r="AB109" s="157" t="s">
        <v>58</v>
      </c>
      <c r="AC109" s="158" t="s">
        <v>59</v>
      </c>
      <c r="AD109" s="153" t="s">
        <v>54</v>
      </c>
      <c r="AE109" s="153" t="s">
        <v>60</v>
      </c>
      <c r="AF109" s="159" t="s">
        <v>61</v>
      </c>
      <c r="AG109" s="159" t="s">
        <v>62</v>
      </c>
      <c r="AH109" s="159" t="s">
        <v>63</v>
      </c>
      <c r="AI109" s="159" t="s">
        <v>64</v>
      </c>
      <c r="AJ109" s="159" t="s">
        <v>64</v>
      </c>
      <c r="AK109" s="197" t="s">
        <v>64</v>
      </c>
    </row>
    <row r="110" spans="1:37" ht="84.75" customHeight="1" thickBot="1" x14ac:dyDescent="0.25">
      <c r="A110" s="1"/>
      <c r="B110" s="196" t="s">
        <v>42</v>
      </c>
      <c r="C110" s="143">
        <v>1320</v>
      </c>
      <c r="D110" s="143" t="s">
        <v>150</v>
      </c>
      <c r="E110" s="143" t="s">
        <v>44</v>
      </c>
      <c r="F110" s="175" t="s">
        <v>126</v>
      </c>
      <c r="G110" s="175" t="s">
        <v>127</v>
      </c>
      <c r="H110" s="175" t="s">
        <v>362</v>
      </c>
      <c r="I110" s="176">
        <v>8736000</v>
      </c>
      <c r="J110" s="177" t="s">
        <v>60</v>
      </c>
      <c r="K110" s="177" t="s">
        <v>48</v>
      </c>
      <c r="L110" s="178" t="s">
        <v>363</v>
      </c>
      <c r="M110" s="143" t="s">
        <v>360</v>
      </c>
      <c r="N110" s="145" t="str">
        <f t="shared" si="9"/>
        <v>Realizar la recolección, transporte y disposición final de los residuos peligrosos generados en las diferentes instalaciones de la UPN</v>
      </c>
      <c r="O110" s="146">
        <v>1</v>
      </c>
      <c r="P110" s="146">
        <v>1</v>
      </c>
      <c r="Q110" s="147">
        <v>11</v>
      </c>
      <c r="R110" s="148" t="s">
        <v>51</v>
      </c>
      <c r="S110" s="149" t="s">
        <v>364</v>
      </c>
      <c r="T110" s="150" t="s">
        <v>53</v>
      </c>
      <c r="U110" s="151">
        <f t="shared" si="7"/>
        <v>8736000</v>
      </c>
      <c r="V110" s="152">
        <f t="shared" si="8"/>
        <v>8736000</v>
      </c>
      <c r="W110" s="153" t="s">
        <v>54</v>
      </c>
      <c r="X110" s="153" t="s">
        <v>55</v>
      </c>
      <c r="Y110" s="154" t="s">
        <v>56</v>
      </c>
      <c r="Z110" s="155" t="s">
        <v>57</v>
      </c>
      <c r="AA110" s="156" t="s">
        <v>42</v>
      </c>
      <c r="AB110" s="157" t="s">
        <v>58</v>
      </c>
      <c r="AC110" s="158" t="s">
        <v>59</v>
      </c>
      <c r="AD110" s="153" t="s">
        <v>54</v>
      </c>
      <c r="AE110" s="153" t="s">
        <v>60</v>
      </c>
      <c r="AF110" s="159" t="s">
        <v>61</v>
      </c>
      <c r="AG110" s="159" t="s">
        <v>62</v>
      </c>
      <c r="AH110" s="159" t="s">
        <v>63</v>
      </c>
      <c r="AI110" s="159" t="s">
        <v>64</v>
      </c>
      <c r="AJ110" s="159" t="s">
        <v>64</v>
      </c>
      <c r="AK110" s="197" t="s">
        <v>64</v>
      </c>
    </row>
    <row r="111" spans="1:37" ht="84.75" customHeight="1" thickBot="1" x14ac:dyDescent="0.25">
      <c r="A111" s="1"/>
      <c r="B111" s="196" t="s">
        <v>42</v>
      </c>
      <c r="C111" s="143">
        <v>1510</v>
      </c>
      <c r="D111" s="143" t="s">
        <v>203</v>
      </c>
      <c r="E111" s="143" t="s">
        <v>204</v>
      </c>
      <c r="F111" s="175" t="s">
        <v>126</v>
      </c>
      <c r="G111" s="175" t="s">
        <v>127</v>
      </c>
      <c r="H111" s="175" t="s">
        <v>365</v>
      </c>
      <c r="I111" s="176">
        <v>0</v>
      </c>
      <c r="J111" s="177" t="s">
        <v>48</v>
      </c>
      <c r="K111" s="177" t="s">
        <v>48</v>
      </c>
      <c r="L111" s="178" t="s">
        <v>366</v>
      </c>
      <c r="M111" s="143">
        <v>85101500</v>
      </c>
      <c r="N111" s="145" t="str">
        <f t="shared" si="9"/>
        <v>Prestar los servicios para la realización de los exámenes médicos de salud ocupacional para los funcionarios de la Universidad Pedagógica Nacional.</v>
      </c>
      <c r="O111" s="146">
        <v>1</v>
      </c>
      <c r="P111" s="146">
        <v>1</v>
      </c>
      <c r="Q111" s="147">
        <v>11</v>
      </c>
      <c r="R111" s="148" t="s">
        <v>51</v>
      </c>
      <c r="S111" s="149" t="s">
        <v>367</v>
      </c>
      <c r="T111" s="150" t="s">
        <v>53</v>
      </c>
      <c r="U111" s="151">
        <f t="shared" si="7"/>
        <v>0</v>
      </c>
      <c r="V111" s="152">
        <f t="shared" si="8"/>
        <v>0</v>
      </c>
      <c r="W111" s="153" t="s">
        <v>54</v>
      </c>
      <c r="X111" s="153" t="s">
        <v>55</v>
      </c>
      <c r="Y111" s="154" t="s">
        <v>56</v>
      </c>
      <c r="Z111" s="155" t="s">
        <v>57</v>
      </c>
      <c r="AA111" s="156" t="s">
        <v>42</v>
      </c>
      <c r="AB111" s="157" t="s">
        <v>58</v>
      </c>
      <c r="AC111" s="158" t="s">
        <v>59</v>
      </c>
      <c r="AD111" s="153" t="s">
        <v>54</v>
      </c>
      <c r="AE111" s="153" t="s">
        <v>60</v>
      </c>
      <c r="AF111" s="159" t="s">
        <v>61</v>
      </c>
      <c r="AG111" s="159" t="s">
        <v>62</v>
      </c>
      <c r="AH111" s="159" t="s">
        <v>63</v>
      </c>
      <c r="AI111" s="159" t="s">
        <v>64</v>
      </c>
      <c r="AJ111" s="159" t="s">
        <v>64</v>
      </c>
      <c r="AK111" s="197" t="s">
        <v>64</v>
      </c>
    </row>
    <row r="112" spans="1:37" ht="84.75" customHeight="1" thickBot="1" x14ac:dyDescent="0.25">
      <c r="A112" s="1"/>
      <c r="B112" s="196" t="s">
        <v>315</v>
      </c>
      <c r="C112" s="143">
        <v>1320</v>
      </c>
      <c r="D112" s="143" t="s">
        <v>150</v>
      </c>
      <c r="E112" s="143" t="s">
        <v>368</v>
      </c>
      <c r="F112" s="175" t="s">
        <v>369</v>
      </c>
      <c r="G112" s="175" t="s">
        <v>370</v>
      </c>
      <c r="H112" s="175" t="s">
        <v>371</v>
      </c>
      <c r="I112" s="176">
        <v>460300</v>
      </c>
      <c r="J112" s="177" t="s">
        <v>48</v>
      </c>
      <c r="K112" s="177" t="s">
        <v>48</v>
      </c>
      <c r="L112" s="178" t="s">
        <v>372</v>
      </c>
      <c r="M112" s="143" t="s">
        <v>50</v>
      </c>
      <c r="N112" s="145" t="str">
        <f t="shared" si="9"/>
        <v xml:space="preserve">Amparar el pago de la cuota anual del Consejo de Educación Popular de América Latina y el Caribe - CEAAL, correspondiente al año 2024, el valor a pagar es de 100 dólares, se calculó valor del dólar $4.603. El valor real está sujeto a la fecha de la negociación de las divisas.
</v>
      </c>
      <c r="O112" s="146">
        <v>1</v>
      </c>
      <c r="P112" s="146">
        <v>1</v>
      </c>
      <c r="Q112" s="147">
        <v>11</v>
      </c>
      <c r="R112" s="148" t="s">
        <v>51</v>
      </c>
      <c r="S112" s="149" t="s">
        <v>373</v>
      </c>
      <c r="T112" s="150" t="s">
        <v>53</v>
      </c>
      <c r="U112" s="151">
        <f t="shared" si="7"/>
        <v>460300</v>
      </c>
      <c r="V112" s="152">
        <f t="shared" si="8"/>
        <v>460300</v>
      </c>
      <c r="W112" s="153" t="s">
        <v>54</v>
      </c>
      <c r="X112" s="153" t="s">
        <v>55</v>
      </c>
      <c r="Y112" s="154" t="s">
        <v>56</v>
      </c>
      <c r="Z112" s="155" t="s">
        <v>57</v>
      </c>
      <c r="AA112" s="156" t="s">
        <v>315</v>
      </c>
      <c r="AB112" s="157" t="s">
        <v>58</v>
      </c>
      <c r="AC112" s="158" t="s">
        <v>59</v>
      </c>
      <c r="AD112" s="153" t="s">
        <v>54</v>
      </c>
      <c r="AE112" s="153" t="s">
        <v>60</v>
      </c>
      <c r="AF112" s="159" t="s">
        <v>61</v>
      </c>
      <c r="AG112" s="159" t="s">
        <v>62</v>
      </c>
      <c r="AH112" s="159" t="s">
        <v>63</v>
      </c>
      <c r="AI112" s="159" t="s">
        <v>64</v>
      </c>
      <c r="AJ112" s="159" t="s">
        <v>64</v>
      </c>
      <c r="AK112" s="197" t="s">
        <v>64</v>
      </c>
    </row>
    <row r="113" spans="1:37" ht="84.75" customHeight="1" thickBot="1" x14ac:dyDescent="0.25">
      <c r="A113" s="1"/>
      <c r="B113" s="196" t="s">
        <v>315</v>
      </c>
      <c r="C113" s="143">
        <v>1320</v>
      </c>
      <c r="D113" s="143" t="s">
        <v>150</v>
      </c>
      <c r="E113" s="143" t="s">
        <v>368</v>
      </c>
      <c r="F113" s="175" t="s">
        <v>369</v>
      </c>
      <c r="G113" s="175" t="s">
        <v>370</v>
      </c>
      <c r="H113" s="175" t="s">
        <v>374</v>
      </c>
      <c r="I113" s="176">
        <v>7941000</v>
      </c>
      <c r="J113" s="177" t="s">
        <v>48</v>
      </c>
      <c r="K113" s="177" t="s">
        <v>48</v>
      </c>
      <c r="L113" s="178" t="s">
        <v>372</v>
      </c>
      <c r="M113" s="143" t="s">
        <v>50</v>
      </c>
      <c r="N113" s="145" t="str">
        <f t="shared" si="9"/>
        <v xml:space="preserve">Amparar el pago de la cuota anual de la Asociación Universitaria Iberoamericana de Postgrados - AUIP, correspondiente al año 2024, el valor a pagar es de 1.500 euros, se calculó valor del euro $5294. El valor real está sujeto a la fecha de la negociación de las divisas.
</v>
      </c>
      <c r="O113" s="146">
        <v>1</v>
      </c>
      <c r="P113" s="146">
        <v>1</v>
      </c>
      <c r="Q113" s="147">
        <v>11</v>
      </c>
      <c r="R113" s="148" t="s">
        <v>51</v>
      </c>
      <c r="S113" s="149" t="s">
        <v>375</v>
      </c>
      <c r="T113" s="150" t="s">
        <v>53</v>
      </c>
      <c r="U113" s="151">
        <f t="shared" si="7"/>
        <v>7941000</v>
      </c>
      <c r="V113" s="152">
        <f t="shared" si="8"/>
        <v>7941000</v>
      </c>
      <c r="W113" s="153" t="s">
        <v>54</v>
      </c>
      <c r="X113" s="153" t="s">
        <v>55</v>
      </c>
      <c r="Y113" s="154" t="s">
        <v>56</v>
      </c>
      <c r="Z113" s="155" t="s">
        <v>57</v>
      </c>
      <c r="AA113" s="156" t="s">
        <v>315</v>
      </c>
      <c r="AB113" s="157" t="s">
        <v>58</v>
      </c>
      <c r="AC113" s="158" t="s">
        <v>59</v>
      </c>
      <c r="AD113" s="153" t="s">
        <v>54</v>
      </c>
      <c r="AE113" s="153" t="s">
        <v>60</v>
      </c>
      <c r="AF113" s="159" t="s">
        <v>61</v>
      </c>
      <c r="AG113" s="159" t="s">
        <v>62</v>
      </c>
      <c r="AH113" s="159" t="s">
        <v>63</v>
      </c>
      <c r="AI113" s="159" t="s">
        <v>64</v>
      </c>
      <c r="AJ113" s="159" t="s">
        <v>64</v>
      </c>
      <c r="AK113" s="197" t="s">
        <v>64</v>
      </c>
    </row>
    <row r="114" spans="1:37" ht="84.75" customHeight="1" thickBot="1" x14ac:dyDescent="0.25">
      <c r="A114" s="1"/>
      <c r="B114" s="196" t="s">
        <v>315</v>
      </c>
      <c r="C114" s="143">
        <v>1320</v>
      </c>
      <c r="D114" s="143" t="s">
        <v>150</v>
      </c>
      <c r="E114" s="143" t="s">
        <v>368</v>
      </c>
      <c r="F114" s="175" t="s">
        <v>369</v>
      </c>
      <c r="G114" s="175" t="s">
        <v>370</v>
      </c>
      <c r="H114" s="175" t="s">
        <v>376</v>
      </c>
      <c r="I114" s="176">
        <v>5063300</v>
      </c>
      <c r="J114" s="177" t="s">
        <v>48</v>
      </c>
      <c r="K114" s="177" t="s">
        <v>48</v>
      </c>
      <c r="L114" s="178" t="s">
        <v>372</v>
      </c>
      <c r="M114" s="143" t="s">
        <v>50</v>
      </c>
      <c r="N114" s="145" t="str">
        <f t="shared" si="9"/>
        <v>Amparar el pago de la cuota anual de la Unión de Universidades de América Latina y el Caribe - UDUAL, correspondiente al año 2024, el valor a pagar es de 1.210 dólares, se calculó valor del dólar $4.184. El valor real está sujeto a la fecha de la negociación de las divisas.</v>
      </c>
      <c r="O114" s="146">
        <v>1</v>
      </c>
      <c r="P114" s="146">
        <v>1</v>
      </c>
      <c r="Q114" s="147">
        <v>11</v>
      </c>
      <c r="R114" s="148" t="s">
        <v>51</v>
      </c>
      <c r="S114" s="149" t="s">
        <v>377</v>
      </c>
      <c r="T114" s="150" t="s">
        <v>53</v>
      </c>
      <c r="U114" s="151">
        <f t="shared" si="7"/>
        <v>5063300</v>
      </c>
      <c r="V114" s="152">
        <f t="shared" si="8"/>
        <v>5063300</v>
      </c>
      <c r="W114" s="153" t="s">
        <v>54</v>
      </c>
      <c r="X114" s="153" t="s">
        <v>55</v>
      </c>
      <c r="Y114" s="154" t="s">
        <v>56</v>
      </c>
      <c r="Z114" s="155" t="s">
        <v>57</v>
      </c>
      <c r="AA114" s="156" t="s">
        <v>315</v>
      </c>
      <c r="AB114" s="157" t="s">
        <v>58</v>
      </c>
      <c r="AC114" s="158" t="s">
        <v>59</v>
      </c>
      <c r="AD114" s="153" t="s">
        <v>54</v>
      </c>
      <c r="AE114" s="153" t="s">
        <v>60</v>
      </c>
      <c r="AF114" s="159" t="s">
        <v>61</v>
      </c>
      <c r="AG114" s="159" t="s">
        <v>62</v>
      </c>
      <c r="AH114" s="159" t="s">
        <v>63</v>
      </c>
      <c r="AI114" s="159" t="s">
        <v>64</v>
      </c>
      <c r="AJ114" s="159" t="s">
        <v>64</v>
      </c>
      <c r="AK114" s="197" t="s">
        <v>64</v>
      </c>
    </row>
    <row r="115" spans="1:37" ht="84.75" customHeight="1" thickBot="1" x14ac:dyDescent="0.25">
      <c r="A115" s="1"/>
      <c r="B115" s="196" t="s">
        <v>315</v>
      </c>
      <c r="C115" s="143">
        <v>1320</v>
      </c>
      <c r="D115" s="143" t="s">
        <v>150</v>
      </c>
      <c r="E115" s="143" t="s">
        <v>368</v>
      </c>
      <c r="F115" s="175" t="s">
        <v>369</v>
      </c>
      <c r="G115" s="175" t="s">
        <v>370</v>
      </c>
      <c r="H115" s="175" t="s">
        <v>378</v>
      </c>
      <c r="I115" s="176">
        <v>4603000</v>
      </c>
      <c r="J115" s="177" t="s">
        <v>48</v>
      </c>
      <c r="K115" s="177" t="s">
        <v>48</v>
      </c>
      <c r="L115" s="178" t="s">
        <v>372</v>
      </c>
      <c r="M115" s="143" t="s">
        <v>50</v>
      </c>
      <c r="N115" s="145" t="str">
        <f t="shared" si="9"/>
        <v>Amparar el pago de la membresía del Consejo Latinoamericano de Ciencias Sociales - CLACSO</v>
      </c>
      <c r="O115" s="146">
        <v>1</v>
      </c>
      <c r="P115" s="146">
        <v>1</v>
      </c>
      <c r="Q115" s="147">
        <v>11</v>
      </c>
      <c r="R115" s="148" t="s">
        <v>51</v>
      </c>
      <c r="S115" s="149" t="s">
        <v>379</v>
      </c>
      <c r="T115" s="150" t="s">
        <v>53</v>
      </c>
      <c r="U115" s="151">
        <f t="shared" si="7"/>
        <v>4603000</v>
      </c>
      <c r="V115" s="152">
        <f t="shared" si="8"/>
        <v>4603000</v>
      </c>
      <c r="W115" s="153" t="s">
        <v>54</v>
      </c>
      <c r="X115" s="153" t="s">
        <v>55</v>
      </c>
      <c r="Y115" s="154" t="s">
        <v>56</v>
      </c>
      <c r="Z115" s="155" t="s">
        <v>57</v>
      </c>
      <c r="AA115" s="156" t="s">
        <v>315</v>
      </c>
      <c r="AB115" s="157" t="s">
        <v>58</v>
      </c>
      <c r="AC115" s="158" t="s">
        <v>59</v>
      </c>
      <c r="AD115" s="153" t="s">
        <v>54</v>
      </c>
      <c r="AE115" s="153" t="s">
        <v>60</v>
      </c>
      <c r="AF115" s="159" t="s">
        <v>61</v>
      </c>
      <c r="AG115" s="159" t="s">
        <v>62</v>
      </c>
      <c r="AH115" s="159" t="s">
        <v>63</v>
      </c>
      <c r="AI115" s="159" t="s">
        <v>64</v>
      </c>
      <c r="AJ115" s="159" t="s">
        <v>64</v>
      </c>
      <c r="AK115" s="197" t="s">
        <v>64</v>
      </c>
    </row>
    <row r="116" spans="1:37" ht="84.75" customHeight="1" thickBot="1" x14ac:dyDescent="0.25">
      <c r="A116" s="1"/>
      <c r="B116" s="196" t="s">
        <v>315</v>
      </c>
      <c r="C116" s="143">
        <v>1320</v>
      </c>
      <c r="D116" s="143" t="s">
        <v>150</v>
      </c>
      <c r="E116" s="143" t="s">
        <v>368</v>
      </c>
      <c r="F116" s="175" t="s">
        <v>369</v>
      </c>
      <c r="G116" s="175" t="s">
        <v>370</v>
      </c>
      <c r="H116" s="175" t="s">
        <v>380</v>
      </c>
      <c r="I116" s="176">
        <v>3852360</v>
      </c>
      <c r="J116" s="177" t="s">
        <v>48</v>
      </c>
      <c r="K116" s="177" t="s">
        <v>48</v>
      </c>
      <c r="L116" s="178" t="s">
        <v>372</v>
      </c>
      <c r="M116" s="143" t="s">
        <v>50</v>
      </c>
      <c r="N116" s="145" t="str">
        <f t="shared" si="9"/>
        <v xml:space="preserve">Amparar el pago de Otras organizaciones (3 nuevas afiliaciones internacionales) (US$1000)  </v>
      </c>
      <c r="O116" s="146">
        <v>1</v>
      </c>
      <c r="P116" s="146">
        <v>1</v>
      </c>
      <c r="Q116" s="147">
        <v>11</v>
      </c>
      <c r="R116" s="148" t="s">
        <v>51</v>
      </c>
      <c r="S116" s="149" t="s">
        <v>381</v>
      </c>
      <c r="T116" s="150" t="s">
        <v>53</v>
      </c>
      <c r="U116" s="151">
        <f t="shared" si="7"/>
        <v>3852360</v>
      </c>
      <c r="V116" s="152">
        <f t="shared" si="8"/>
        <v>3852360</v>
      </c>
      <c r="W116" s="153" t="s">
        <v>54</v>
      </c>
      <c r="X116" s="153" t="s">
        <v>55</v>
      </c>
      <c r="Y116" s="154" t="s">
        <v>56</v>
      </c>
      <c r="Z116" s="155" t="s">
        <v>57</v>
      </c>
      <c r="AA116" s="156" t="s">
        <v>315</v>
      </c>
      <c r="AB116" s="157" t="s">
        <v>58</v>
      </c>
      <c r="AC116" s="158" t="s">
        <v>59</v>
      </c>
      <c r="AD116" s="153" t="s">
        <v>54</v>
      </c>
      <c r="AE116" s="153" t="s">
        <v>60</v>
      </c>
      <c r="AF116" s="159" t="s">
        <v>61</v>
      </c>
      <c r="AG116" s="159" t="s">
        <v>62</v>
      </c>
      <c r="AH116" s="159" t="s">
        <v>63</v>
      </c>
      <c r="AI116" s="159" t="s">
        <v>64</v>
      </c>
      <c r="AJ116" s="159" t="s">
        <v>64</v>
      </c>
      <c r="AK116" s="197" t="s">
        <v>64</v>
      </c>
    </row>
    <row r="117" spans="1:37" ht="84.75" customHeight="1" thickBot="1" x14ac:dyDescent="0.25">
      <c r="A117" s="1"/>
      <c r="B117" s="196" t="s">
        <v>315</v>
      </c>
      <c r="C117" s="143">
        <v>1320</v>
      </c>
      <c r="D117" s="143" t="s">
        <v>150</v>
      </c>
      <c r="E117" s="143" t="s">
        <v>44</v>
      </c>
      <c r="F117" s="175" t="s">
        <v>382</v>
      </c>
      <c r="G117" s="175" t="s">
        <v>370</v>
      </c>
      <c r="H117" s="175" t="s">
        <v>383</v>
      </c>
      <c r="I117" s="176">
        <f>2568240+31760</f>
        <v>2600000</v>
      </c>
      <c r="J117" s="177" t="s">
        <v>48</v>
      </c>
      <c r="K117" s="177" t="s">
        <v>48</v>
      </c>
      <c r="L117" s="178" t="s">
        <v>372</v>
      </c>
      <c r="M117" s="143" t="s">
        <v>50</v>
      </c>
      <c r="N117" s="145" t="str">
        <f t="shared" si="9"/>
        <v>Amparar el pago de la cuota de sostenimiento anual de la Asociación Colombiana de Facultades de Humanidades y de Ciencias Sociales</v>
      </c>
      <c r="O117" s="146">
        <v>1</v>
      </c>
      <c r="P117" s="146">
        <v>1</v>
      </c>
      <c r="Q117" s="147">
        <v>11</v>
      </c>
      <c r="R117" s="148" t="s">
        <v>51</v>
      </c>
      <c r="S117" s="149" t="s">
        <v>384</v>
      </c>
      <c r="T117" s="150" t="s">
        <v>53</v>
      </c>
      <c r="U117" s="151">
        <f t="shared" si="7"/>
        <v>2600000</v>
      </c>
      <c r="V117" s="152">
        <f t="shared" si="8"/>
        <v>2600000</v>
      </c>
      <c r="W117" s="153" t="s">
        <v>54</v>
      </c>
      <c r="X117" s="153" t="s">
        <v>55</v>
      </c>
      <c r="Y117" s="154" t="s">
        <v>56</v>
      </c>
      <c r="Z117" s="155" t="s">
        <v>57</v>
      </c>
      <c r="AA117" s="156" t="s">
        <v>315</v>
      </c>
      <c r="AB117" s="157" t="s">
        <v>58</v>
      </c>
      <c r="AC117" s="158" t="s">
        <v>59</v>
      </c>
      <c r="AD117" s="153" t="s">
        <v>54</v>
      </c>
      <c r="AE117" s="153" t="s">
        <v>60</v>
      </c>
      <c r="AF117" s="159" t="s">
        <v>61</v>
      </c>
      <c r="AG117" s="159" t="s">
        <v>62</v>
      </c>
      <c r="AH117" s="159" t="s">
        <v>63</v>
      </c>
      <c r="AI117" s="159" t="s">
        <v>64</v>
      </c>
      <c r="AJ117" s="159" t="s">
        <v>64</v>
      </c>
      <c r="AK117" s="197" t="s">
        <v>64</v>
      </c>
    </row>
    <row r="118" spans="1:37" ht="84.75" customHeight="1" thickBot="1" x14ac:dyDescent="0.25">
      <c r="A118" s="1"/>
      <c r="B118" s="196" t="s">
        <v>315</v>
      </c>
      <c r="C118" s="143">
        <v>1320</v>
      </c>
      <c r="D118" s="143" t="s">
        <v>150</v>
      </c>
      <c r="E118" s="143" t="s">
        <v>44</v>
      </c>
      <c r="F118" s="175" t="s">
        <v>382</v>
      </c>
      <c r="G118" s="175" t="s">
        <v>370</v>
      </c>
      <c r="H118" s="175" t="s">
        <v>385</v>
      </c>
      <c r="I118" s="176">
        <f>2767500+12500</f>
        <v>2780000</v>
      </c>
      <c r="J118" s="177" t="s">
        <v>48</v>
      </c>
      <c r="K118" s="177" t="s">
        <v>48</v>
      </c>
      <c r="L118" s="178" t="s">
        <v>372</v>
      </c>
      <c r="M118" s="143" t="s">
        <v>50</v>
      </c>
      <c r="N118" s="145" t="str">
        <f t="shared" si="9"/>
        <v xml:space="preserve">Amparar el pago de la cuota de ACAC </v>
      </c>
      <c r="O118" s="146">
        <v>1</v>
      </c>
      <c r="P118" s="146">
        <v>1</v>
      </c>
      <c r="Q118" s="147">
        <v>11</v>
      </c>
      <c r="R118" s="148" t="s">
        <v>51</v>
      </c>
      <c r="S118" s="149" t="s">
        <v>386</v>
      </c>
      <c r="T118" s="150" t="s">
        <v>53</v>
      </c>
      <c r="U118" s="151">
        <f t="shared" si="7"/>
        <v>2780000</v>
      </c>
      <c r="V118" s="152">
        <f t="shared" si="8"/>
        <v>2780000</v>
      </c>
      <c r="W118" s="153" t="s">
        <v>54</v>
      </c>
      <c r="X118" s="153" t="s">
        <v>55</v>
      </c>
      <c r="Y118" s="154" t="s">
        <v>56</v>
      </c>
      <c r="Z118" s="155" t="s">
        <v>57</v>
      </c>
      <c r="AA118" s="156" t="s">
        <v>315</v>
      </c>
      <c r="AB118" s="157" t="s">
        <v>58</v>
      </c>
      <c r="AC118" s="158" t="s">
        <v>59</v>
      </c>
      <c r="AD118" s="153" t="s">
        <v>54</v>
      </c>
      <c r="AE118" s="153" t="s">
        <v>60</v>
      </c>
      <c r="AF118" s="159" t="s">
        <v>61</v>
      </c>
      <c r="AG118" s="159" t="s">
        <v>62</v>
      </c>
      <c r="AH118" s="159" t="s">
        <v>63</v>
      </c>
      <c r="AI118" s="159" t="s">
        <v>64</v>
      </c>
      <c r="AJ118" s="159" t="s">
        <v>64</v>
      </c>
      <c r="AK118" s="197" t="s">
        <v>64</v>
      </c>
    </row>
    <row r="119" spans="1:37" ht="84.75" customHeight="1" thickBot="1" x14ac:dyDescent="0.25">
      <c r="A119" s="1"/>
      <c r="B119" s="196" t="s">
        <v>315</v>
      </c>
      <c r="C119" s="143">
        <v>1320</v>
      </c>
      <c r="D119" s="143" t="s">
        <v>150</v>
      </c>
      <c r="E119" s="143" t="s">
        <v>44</v>
      </c>
      <c r="F119" s="175" t="s">
        <v>382</v>
      </c>
      <c r="G119" s="175" t="s">
        <v>370</v>
      </c>
      <c r="H119" s="175" t="s">
        <v>387</v>
      </c>
      <c r="I119" s="176">
        <f>2568420+31580+2631580</f>
        <v>5231580</v>
      </c>
      <c r="J119" s="177" t="s">
        <v>48</v>
      </c>
      <c r="K119" s="177" t="s">
        <v>48</v>
      </c>
      <c r="L119" s="178" t="s">
        <v>372</v>
      </c>
      <c r="M119" s="143" t="s">
        <v>50</v>
      </c>
      <c r="N119" s="145" t="str">
        <f t="shared" si="9"/>
        <v>Amparar el pago de la membresía del año 2024 de la Facultad de Bellas Artes en la Asociación Colombiana de Programas y Facultades de Artes ACOFARTES.</v>
      </c>
      <c r="O119" s="146">
        <v>1</v>
      </c>
      <c r="P119" s="146">
        <v>1</v>
      </c>
      <c r="Q119" s="147">
        <v>11</v>
      </c>
      <c r="R119" s="148" t="s">
        <v>51</v>
      </c>
      <c r="S119" s="149" t="s">
        <v>388</v>
      </c>
      <c r="T119" s="150" t="s">
        <v>53</v>
      </c>
      <c r="U119" s="151">
        <f t="shared" si="7"/>
        <v>5231580</v>
      </c>
      <c r="V119" s="152">
        <f t="shared" si="8"/>
        <v>5231580</v>
      </c>
      <c r="W119" s="153" t="s">
        <v>54</v>
      </c>
      <c r="X119" s="153" t="s">
        <v>55</v>
      </c>
      <c r="Y119" s="154" t="s">
        <v>56</v>
      </c>
      <c r="Z119" s="155" t="s">
        <v>57</v>
      </c>
      <c r="AA119" s="156" t="s">
        <v>315</v>
      </c>
      <c r="AB119" s="157" t="s">
        <v>58</v>
      </c>
      <c r="AC119" s="158" t="s">
        <v>59</v>
      </c>
      <c r="AD119" s="153" t="s">
        <v>54</v>
      </c>
      <c r="AE119" s="153" t="s">
        <v>60</v>
      </c>
      <c r="AF119" s="159" t="s">
        <v>61</v>
      </c>
      <c r="AG119" s="159" t="s">
        <v>62</v>
      </c>
      <c r="AH119" s="159" t="s">
        <v>63</v>
      </c>
      <c r="AI119" s="159" t="s">
        <v>64</v>
      </c>
      <c r="AJ119" s="159" t="s">
        <v>64</v>
      </c>
      <c r="AK119" s="197" t="s">
        <v>64</v>
      </c>
    </row>
    <row r="120" spans="1:37" ht="84.75" customHeight="1" thickBot="1" x14ac:dyDescent="0.25">
      <c r="A120" s="1"/>
      <c r="B120" s="196" t="s">
        <v>315</v>
      </c>
      <c r="C120" s="143">
        <v>1320</v>
      </c>
      <c r="D120" s="143" t="s">
        <v>150</v>
      </c>
      <c r="E120" s="143" t="s">
        <v>44</v>
      </c>
      <c r="F120" s="175" t="s">
        <v>382</v>
      </c>
      <c r="G120" s="175" t="s">
        <v>370</v>
      </c>
      <c r="H120" s="175" t="s">
        <v>389</v>
      </c>
      <c r="I120" s="176">
        <v>1007244</v>
      </c>
      <c r="J120" s="177" t="s">
        <v>48</v>
      </c>
      <c r="K120" s="177" t="s">
        <v>48</v>
      </c>
      <c r="L120" s="178" t="s">
        <v>372</v>
      </c>
      <c r="M120" s="143" t="s">
        <v>50</v>
      </c>
      <c r="N120" s="145" t="str">
        <f t="shared" si="9"/>
        <v>Amparar el pago de la cuota de afiliación con el Instituto Colombiano de Normas Técnicas y Certificación ICONTEC, correspondiente al año 2024.</v>
      </c>
      <c r="O120" s="146">
        <v>1</v>
      </c>
      <c r="P120" s="146">
        <v>1</v>
      </c>
      <c r="Q120" s="147">
        <v>11</v>
      </c>
      <c r="R120" s="148" t="s">
        <v>51</v>
      </c>
      <c r="S120" s="149" t="s">
        <v>390</v>
      </c>
      <c r="T120" s="150" t="s">
        <v>53</v>
      </c>
      <c r="U120" s="151">
        <f t="shared" si="7"/>
        <v>1007244</v>
      </c>
      <c r="V120" s="152">
        <f t="shared" si="8"/>
        <v>1007244</v>
      </c>
      <c r="W120" s="153" t="s">
        <v>54</v>
      </c>
      <c r="X120" s="153" t="s">
        <v>55</v>
      </c>
      <c r="Y120" s="154" t="s">
        <v>56</v>
      </c>
      <c r="Z120" s="155" t="s">
        <v>57</v>
      </c>
      <c r="AA120" s="156" t="s">
        <v>315</v>
      </c>
      <c r="AB120" s="157" t="s">
        <v>58</v>
      </c>
      <c r="AC120" s="158" t="s">
        <v>59</v>
      </c>
      <c r="AD120" s="153" t="s">
        <v>54</v>
      </c>
      <c r="AE120" s="153" t="s">
        <v>60</v>
      </c>
      <c r="AF120" s="159" t="s">
        <v>61</v>
      </c>
      <c r="AG120" s="159" t="s">
        <v>62</v>
      </c>
      <c r="AH120" s="159" t="s">
        <v>63</v>
      </c>
      <c r="AI120" s="159" t="s">
        <v>64</v>
      </c>
      <c r="AJ120" s="159" t="s">
        <v>64</v>
      </c>
      <c r="AK120" s="197" t="s">
        <v>64</v>
      </c>
    </row>
    <row r="121" spans="1:37" ht="84.75" customHeight="1" thickBot="1" x14ac:dyDescent="0.25">
      <c r="A121" s="1"/>
      <c r="B121" s="196" t="s">
        <v>315</v>
      </c>
      <c r="C121" s="143">
        <v>1320</v>
      </c>
      <c r="D121" s="143" t="s">
        <v>150</v>
      </c>
      <c r="E121" s="143" t="s">
        <v>44</v>
      </c>
      <c r="F121" s="175" t="s">
        <v>382</v>
      </c>
      <c r="G121" s="175" t="s">
        <v>370</v>
      </c>
      <c r="H121" s="175" t="s">
        <v>391</v>
      </c>
      <c r="I121" s="176">
        <f>3852360+(47640+550000+100000)</f>
        <v>4550000</v>
      </c>
      <c r="J121" s="177" t="s">
        <v>60</v>
      </c>
      <c r="K121" s="177" t="s">
        <v>48</v>
      </c>
      <c r="L121" s="178" t="s">
        <v>372</v>
      </c>
      <c r="M121" s="143" t="s">
        <v>50</v>
      </c>
      <c r="N121" s="145" t="str">
        <f t="shared" si="9"/>
        <v>Amparar el pago de la membresía de la Asociación Colombiana de Facultades de Educación- ASCOFADE, correspondiente a la cuota de sostenimiento anual 2024.</v>
      </c>
      <c r="O121" s="146">
        <v>1</v>
      </c>
      <c r="P121" s="146">
        <v>1</v>
      </c>
      <c r="Q121" s="147">
        <v>11</v>
      </c>
      <c r="R121" s="148" t="s">
        <v>51</v>
      </c>
      <c r="S121" s="149" t="s">
        <v>392</v>
      </c>
      <c r="T121" s="150" t="s">
        <v>53</v>
      </c>
      <c r="U121" s="151">
        <f t="shared" si="7"/>
        <v>4550000</v>
      </c>
      <c r="V121" s="152">
        <f t="shared" si="8"/>
        <v>4550000</v>
      </c>
      <c r="W121" s="153" t="s">
        <v>54</v>
      </c>
      <c r="X121" s="153" t="s">
        <v>55</v>
      </c>
      <c r="Y121" s="154" t="s">
        <v>56</v>
      </c>
      <c r="Z121" s="155" t="s">
        <v>57</v>
      </c>
      <c r="AA121" s="156" t="s">
        <v>315</v>
      </c>
      <c r="AB121" s="157" t="s">
        <v>58</v>
      </c>
      <c r="AC121" s="158" t="s">
        <v>59</v>
      </c>
      <c r="AD121" s="153" t="s">
        <v>54</v>
      </c>
      <c r="AE121" s="153" t="s">
        <v>60</v>
      </c>
      <c r="AF121" s="159" t="s">
        <v>61</v>
      </c>
      <c r="AG121" s="159" t="s">
        <v>62</v>
      </c>
      <c r="AH121" s="159" t="s">
        <v>63</v>
      </c>
      <c r="AI121" s="159" t="s">
        <v>64</v>
      </c>
      <c r="AJ121" s="159" t="s">
        <v>64</v>
      </c>
      <c r="AK121" s="197" t="s">
        <v>64</v>
      </c>
    </row>
    <row r="122" spans="1:37" ht="84.75" customHeight="1" thickBot="1" x14ac:dyDescent="0.25">
      <c r="A122" s="1"/>
      <c r="B122" s="196" t="s">
        <v>315</v>
      </c>
      <c r="C122" s="143">
        <v>1320</v>
      </c>
      <c r="D122" s="143" t="s">
        <v>150</v>
      </c>
      <c r="E122" s="143" t="s">
        <v>44</v>
      </c>
      <c r="F122" s="175" t="s">
        <v>382</v>
      </c>
      <c r="G122" s="175" t="s">
        <v>370</v>
      </c>
      <c r="H122" s="175" t="s">
        <v>393</v>
      </c>
      <c r="I122" s="176">
        <f>2568240+31760</f>
        <v>2600000</v>
      </c>
      <c r="J122" s="177" t="s">
        <v>48</v>
      </c>
      <c r="K122" s="177" t="s">
        <v>48</v>
      </c>
      <c r="L122" s="178" t="s">
        <v>372</v>
      </c>
      <c r="M122" s="143" t="s">
        <v>50</v>
      </c>
      <c r="N122" s="145" t="str">
        <f t="shared" si="9"/>
        <v>Amparar el pago de la cuota de membresía de la Asociación Red Colombiana de Facultades de Deporte, Educación Física y Recreación - ARCOFADER, correspondiente al año 2024.</v>
      </c>
      <c r="O122" s="146">
        <v>1</v>
      </c>
      <c r="P122" s="146">
        <v>1</v>
      </c>
      <c r="Q122" s="147">
        <v>11</v>
      </c>
      <c r="R122" s="148" t="s">
        <v>51</v>
      </c>
      <c r="S122" s="149" t="s">
        <v>394</v>
      </c>
      <c r="T122" s="150" t="s">
        <v>53</v>
      </c>
      <c r="U122" s="151">
        <f t="shared" si="7"/>
        <v>2600000</v>
      </c>
      <c r="V122" s="152">
        <f t="shared" si="8"/>
        <v>2600000</v>
      </c>
      <c r="W122" s="153" t="s">
        <v>54</v>
      </c>
      <c r="X122" s="153" t="s">
        <v>55</v>
      </c>
      <c r="Y122" s="154" t="s">
        <v>56</v>
      </c>
      <c r="Z122" s="155" t="s">
        <v>57</v>
      </c>
      <c r="AA122" s="156" t="s">
        <v>315</v>
      </c>
      <c r="AB122" s="157" t="s">
        <v>58</v>
      </c>
      <c r="AC122" s="158" t="s">
        <v>59</v>
      </c>
      <c r="AD122" s="153" t="s">
        <v>54</v>
      </c>
      <c r="AE122" s="153" t="s">
        <v>60</v>
      </c>
      <c r="AF122" s="159" t="s">
        <v>61</v>
      </c>
      <c r="AG122" s="159" t="s">
        <v>62</v>
      </c>
      <c r="AH122" s="159" t="s">
        <v>63</v>
      </c>
      <c r="AI122" s="159" t="s">
        <v>64</v>
      </c>
      <c r="AJ122" s="159" t="s">
        <v>64</v>
      </c>
      <c r="AK122" s="197" t="s">
        <v>64</v>
      </c>
    </row>
    <row r="123" spans="1:37" ht="84.75" customHeight="1" thickBot="1" x14ac:dyDescent="0.25">
      <c r="A123" s="1"/>
      <c r="B123" s="196" t="s">
        <v>315</v>
      </c>
      <c r="C123" s="143">
        <v>1320</v>
      </c>
      <c r="D123" s="143" t="s">
        <v>150</v>
      </c>
      <c r="E123" s="143" t="s">
        <v>44</v>
      </c>
      <c r="F123" s="175" t="s">
        <v>382</v>
      </c>
      <c r="G123" s="175" t="s">
        <v>370</v>
      </c>
      <c r="H123" s="175" t="s">
        <v>395</v>
      </c>
      <c r="I123" s="176">
        <f>23622554.46+2682406</f>
        <v>26304960.460000001</v>
      </c>
      <c r="J123" s="177" t="s">
        <v>48</v>
      </c>
      <c r="K123" s="177" t="s">
        <v>48</v>
      </c>
      <c r="L123" s="178" t="s">
        <v>372</v>
      </c>
      <c r="M123" s="143" t="s">
        <v>50</v>
      </c>
      <c r="N123" s="145" t="str">
        <f t="shared" si="9"/>
        <v xml:space="preserve">Amparar el pago de la cuota de sostenimiento de la Asociación Colombiana de Universidades  - ASCUN, correspondiente al año 2024.
</v>
      </c>
      <c r="O123" s="146">
        <v>1</v>
      </c>
      <c r="P123" s="146">
        <v>1</v>
      </c>
      <c r="Q123" s="147">
        <v>11</v>
      </c>
      <c r="R123" s="148" t="s">
        <v>51</v>
      </c>
      <c r="S123" s="149" t="s">
        <v>396</v>
      </c>
      <c r="T123" s="150" t="s">
        <v>53</v>
      </c>
      <c r="U123" s="151">
        <f t="shared" si="7"/>
        <v>26304960.460000001</v>
      </c>
      <c r="V123" s="152">
        <f t="shared" si="8"/>
        <v>26304960.460000001</v>
      </c>
      <c r="W123" s="153" t="s">
        <v>54</v>
      </c>
      <c r="X123" s="153" t="s">
        <v>55</v>
      </c>
      <c r="Y123" s="154" t="s">
        <v>56</v>
      </c>
      <c r="Z123" s="155" t="s">
        <v>57</v>
      </c>
      <c r="AA123" s="156" t="s">
        <v>315</v>
      </c>
      <c r="AB123" s="157" t="s">
        <v>58</v>
      </c>
      <c r="AC123" s="158" t="s">
        <v>59</v>
      </c>
      <c r="AD123" s="153" t="s">
        <v>54</v>
      </c>
      <c r="AE123" s="153" t="s">
        <v>60</v>
      </c>
      <c r="AF123" s="159" t="s">
        <v>61</v>
      </c>
      <c r="AG123" s="159" t="s">
        <v>62</v>
      </c>
      <c r="AH123" s="159" t="s">
        <v>63</v>
      </c>
      <c r="AI123" s="159" t="s">
        <v>64</v>
      </c>
      <c r="AJ123" s="159" t="s">
        <v>64</v>
      </c>
      <c r="AK123" s="197" t="s">
        <v>64</v>
      </c>
    </row>
    <row r="124" spans="1:37" ht="84.75" customHeight="1" thickBot="1" x14ac:dyDescent="0.25">
      <c r="A124" s="1"/>
      <c r="B124" s="196" t="s">
        <v>315</v>
      </c>
      <c r="C124" s="143">
        <v>1320</v>
      </c>
      <c r="D124" s="143" t="s">
        <v>150</v>
      </c>
      <c r="E124" s="143" t="s">
        <v>44</v>
      </c>
      <c r="F124" s="175" t="s">
        <v>382</v>
      </c>
      <c r="G124" s="175" t="s">
        <v>370</v>
      </c>
      <c r="H124" s="175" t="s">
        <v>397</v>
      </c>
      <c r="I124" s="176">
        <v>3855840.0000000005</v>
      </c>
      <c r="J124" s="177" t="s">
        <v>48</v>
      </c>
      <c r="K124" s="177" t="s">
        <v>48</v>
      </c>
      <c r="L124" s="178" t="s">
        <v>372</v>
      </c>
      <c r="M124" s="143" t="s">
        <v>50</v>
      </c>
      <c r="N124" s="145" t="str">
        <f t="shared" si="9"/>
        <v xml:space="preserve">Amparar el pago cuota anual de las actividades de Bienestar Universitario de la Universidad Pedagógica Nacional a la Asociación Colombiana de Universidades “ASCUN” correspondiente al año 2024.
</v>
      </c>
      <c r="O124" s="146">
        <v>1</v>
      </c>
      <c r="P124" s="146">
        <v>1</v>
      </c>
      <c r="Q124" s="147">
        <v>11</v>
      </c>
      <c r="R124" s="148" t="s">
        <v>51</v>
      </c>
      <c r="S124" s="149" t="s">
        <v>398</v>
      </c>
      <c r="T124" s="150" t="s">
        <v>53</v>
      </c>
      <c r="U124" s="151">
        <f t="shared" si="7"/>
        <v>3855840.0000000005</v>
      </c>
      <c r="V124" s="152">
        <f t="shared" si="8"/>
        <v>3855840.0000000005</v>
      </c>
      <c r="W124" s="153" t="s">
        <v>54</v>
      </c>
      <c r="X124" s="153" t="s">
        <v>55</v>
      </c>
      <c r="Y124" s="154" t="s">
        <v>56</v>
      </c>
      <c r="Z124" s="155" t="s">
        <v>57</v>
      </c>
      <c r="AA124" s="156" t="s">
        <v>315</v>
      </c>
      <c r="AB124" s="157" t="s">
        <v>58</v>
      </c>
      <c r="AC124" s="158" t="s">
        <v>59</v>
      </c>
      <c r="AD124" s="153" t="s">
        <v>54</v>
      </c>
      <c r="AE124" s="153" t="s">
        <v>60</v>
      </c>
      <c r="AF124" s="159" t="s">
        <v>61</v>
      </c>
      <c r="AG124" s="159" t="s">
        <v>62</v>
      </c>
      <c r="AH124" s="159" t="s">
        <v>63</v>
      </c>
      <c r="AI124" s="159" t="s">
        <v>64</v>
      </c>
      <c r="AJ124" s="159" t="s">
        <v>64</v>
      </c>
      <c r="AK124" s="197" t="s">
        <v>64</v>
      </c>
    </row>
    <row r="125" spans="1:37" ht="84.75" customHeight="1" thickBot="1" x14ac:dyDescent="0.25">
      <c r="A125" s="1"/>
      <c r="B125" s="196" t="s">
        <v>315</v>
      </c>
      <c r="C125" s="143">
        <v>1320</v>
      </c>
      <c r="D125" s="143" t="s">
        <v>150</v>
      </c>
      <c r="E125" s="143" t="s">
        <v>44</v>
      </c>
      <c r="F125" s="175" t="s">
        <v>382</v>
      </c>
      <c r="G125" s="175" t="s">
        <v>370</v>
      </c>
      <c r="H125" s="175" t="s">
        <v>399</v>
      </c>
      <c r="I125" s="176">
        <v>22462317.800000001</v>
      </c>
      <c r="J125" s="177" t="s">
        <v>48</v>
      </c>
      <c r="K125" s="177" t="s">
        <v>48</v>
      </c>
      <c r="L125" s="178" t="s">
        <v>372</v>
      </c>
      <c r="M125" s="143" t="s">
        <v>50</v>
      </c>
      <c r="N125" s="145" t="str">
        <f t="shared" si="9"/>
        <v>Amparar el pago en la participación en las actividades deportivas - torneos estudiantiles, a la Asociación Colombiana de Universidades “ASCUN” correspondiente al año 2024</v>
      </c>
      <c r="O125" s="146">
        <v>1</v>
      </c>
      <c r="P125" s="146">
        <v>1</v>
      </c>
      <c r="Q125" s="147">
        <v>11</v>
      </c>
      <c r="R125" s="148" t="s">
        <v>51</v>
      </c>
      <c r="S125" s="149" t="s">
        <v>400</v>
      </c>
      <c r="T125" s="150" t="s">
        <v>53</v>
      </c>
      <c r="U125" s="151">
        <f t="shared" si="7"/>
        <v>22462317.800000001</v>
      </c>
      <c r="V125" s="152">
        <f t="shared" si="8"/>
        <v>22462317.800000001</v>
      </c>
      <c r="W125" s="153" t="s">
        <v>54</v>
      </c>
      <c r="X125" s="153" t="s">
        <v>55</v>
      </c>
      <c r="Y125" s="154" t="s">
        <v>56</v>
      </c>
      <c r="Z125" s="155" t="s">
        <v>57</v>
      </c>
      <c r="AA125" s="156" t="s">
        <v>315</v>
      </c>
      <c r="AB125" s="157" t="s">
        <v>58</v>
      </c>
      <c r="AC125" s="158" t="s">
        <v>59</v>
      </c>
      <c r="AD125" s="153" t="s">
        <v>54</v>
      </c>
      <c r="AE125" s="153" t="s">
        <v>60</v>
      </c>
      <c r="AF125" s="159" t="s">
        <v>61</v>
      </c>
      <c r="AG125" s="159" t="s">
        <v>62</v>
      </c>
      <c r="AH125" s="159" t="s">
        <v>63</v>
      </c>
      <c r="AI125" s="159" t="s">
        <v>64</v>
      </c>
      <c r="AJ125" s="159" t="s">
        <v>64</v>
      </c>
      <c r="AK125" s="197" t="s">
        <v>64</v>
      </c>
    </row>
    <row r="126" spans="1:37" ht="84.75" customHeight="1" thickBot="1" x14ac:dyDescent="0.25">
      <c r="A126" s="1"/>
      <c r="B126" s="196" t="s">
        <v>315</v>
      </c>
      <c r="C126" s="143">
        <v>1320</v>
      </c>
      <c r="D126" s="143" t="s">
        <v>150</v>
      </c>
      <c r="E126" s="143" t="s">
        <v>44</v>
      </c>
      <c r="F126" s="175" t="s">
        <v>382</v>
      </c>
      <c r="G126" s="175" t="s">
        <v>370</v>
      </c>
      <c r="H126" s="175" t="s">
        <v>401</v>
      </c>
      <c r="I126" s="176">
        <f>5136480+63520</f>
        <v>5200000</v>
      </c>
      <c r="J126" s="177" t="s">
        <v>48</v>
      </c>
      <c r="K126" s="177" t="s">
        <v>48</v>
      </c>
      <c r="L126" s="178" t="s">
        <v>372</v>
      </c>
      <c r="M126" s="143" t="s">
        <v>50</v>
      </c>
      <c r="N126" s="145" t="str">
        <f t="shared" si="9"/>
        <v>Amparar el pago de la cuota de la membresía de la Red Colombiana de Formación Ambiental - RCFA, correspondiente al año 2024.</v>
      </c>
      <c r="O126" s="146">
        <v>1</v>
      </c>
      <c r="P126" s="146">
        <v>1</v>
      </c>
      <c r="Q126" s="147">
        <v>11</v>
      </c>
      <c r="R126" s="148" t="s">
        <v>51</v>
      </c>
      <c r="S126" s="149" t="s">
        <v>402</v>
      </c>
      <c r="T126" s="150" t="s">
        <v>53</v>
      </c>
      <c r="U126" s="151">
        <f t="shared" si="7"/>
        <v>5200000</v>
      </c>
      <c r="V126" s="152">
        <f t="shared" si="8"/>
        <v>5200000</v>
      </c>
      <c r="W126" s="153" t="s">
        <v>54</v>
      </c>
      <c r="X126" s="153" t="s">
        <v>55</v>
      </c>
      <c r="Y126" s="154" t="s">
        <v>56</v>
      </c>
      <c r="Z126" s="155" t="s">
        <v>57</v>
      </c>
      <c r="AA126" s="156" t="s">
        <v>315</v>
      </c>
      <c r="AB126" s="157" t="s">
        <v>58</v>
      </c>
      <c r="AC126" s="158" t="s">
        <v>59</v>
      </c>
      <c r="AD126" s="153" t="s">
        <v>54</v>
      </c>
      <c r="AE126" s="153" t="s">
        <v>60</v>
      </c>
      <c r="AF126" s="159" t="s">
        <v>61</v>
      </c>
      <c r="AG126" s="159" t="s">
        <v>62</v>
      </c>
      <c r="AH126" s="159" t="s">
        <v>63</v>
      </c>
      <c r="AI126" s="159" t="s">
        <v>64</v>
      </c>
      <c r="AJ126" s="159" t="s">
        <v>64</v>
      </c>
      <c r="AK126" s="197" t="s">
        <v>64</v>
      </c>
    </row>
    <row r="127" spans="1:37" ht="84.75" customHeight="1" thickBot="1" x14ac:dyDescent="0.25">
      <c r="A127" s="1"/>
      <c r="B127" s="196" t="s">
        <v>315</v>
      </c>
      <c r="C127" s="143">
        <v>1320</v>
      </c>
      <c r="D127" s="143" t="s">
        <v>150</v>
      </c>
      <c r="E127" s="143" t="s">
        <v>44</v>
      </c>
      <c r="F127" s="175" t="s">
        <v>382</v>
      </c>
      <c r="G127" s="175" t="s">
        <v>370</v>
      </c>
      <c r="H127" s="175" t="s">
        <v>403</v>
      </c>
      <c r="I127" s="176">
        <f>3852360+47640</f>
        <v>3900000</v>
      </c>
      <c r="J127" s="177" t="s">
        <v>48</v>
      </c>
      <c r="K127" s="177" t="s">
        <v>48</v>
      </c>
      <c r="L127" s="178" t="s">
        <v>372</v>
      </c>
      <c r="M127" s="143" t="s">
        <v>50</v>
      </c>
      <c r="N127" s="145" t="str">
        <f t="shared" si="9"/>
        <v>Amparar el pago de la cuota de sostenimiento de la Red Colombiana de Posgrados- RCP, correspondiente al año 2024.</v>
      </c>
      <c r="O127" s="146">
        <v>1</v>
      </c>
      <c r="P127" s="146">
        <v>1</v>
      </c>
      <c r="Q127" s="147">
        <v>11</v>
      </c>
      <c r="R127" s="148" t="s">
        <v>51</v>
      </c>
      <c r="S127" s="149" t="s">
        <v>404</v>
      </c>
      <c r="T127" s="150" t="s">
        <v>53</v>
      </c>
      <c r="U127" s="151">
        <f t="shared" si="7"/>
        <v>3900000</v>
      </c>
      <c r="V127" s="152">
        <f t="shared" si="8"/>
        <v>3900000</v>
      </c>
      <c r="W127" s="153" t="s">
        <v>54</v>
      </c>
      <c r="X127" s="153" t="s">
        <v>55</v>
      </c>
      <c r="Y127" s="154" t="s">
        <v>56</v>
      </c>
      <c r="Z127" s="155" t="s">
        <v>57</v>
      </c>
      <c r="AA127" s="156" t="s">
        <v>315</v>
      </c>
      <c r="AB127" s="157" t="s">
        <v>58</v>
      </c>
      <c r="AC127" s="158" t="s">
        <v>59</v>
      </c>
      <c r="AD127" s="153" t="s">
        <v>54</v>
      </c>
      <c r="AE127" s="153" t="s">
        <v>60</v>
      </c>
      <c r="AF127" s="159" t="s">
        <v>61</v>
      </c>
      <c r="AG127" s="159" t="s">
        <v>62</v>
      </c>
      <c r="AH127" s="159" t="s">
        <v>63</v>
      </c>
      <c r="AI127" s="159" t="s">
        <v>64</v>
      </c>
      <c r="AJ127" s="159" t="s">
        <v>64</v>
      </c>
      <c r="AK127" s="197" t="s">
        <v>64</v>
      </c>
    </row>
    <row r="128" spans="1:37" ht="84.75" customHeight="1" thickBot="1" x14ac:dyDescent="0.25">
      <c r="A128" s="1"/>
      <c r="B128" s="196" t="s">
        <v>315</v>
      </c>
      <c r="C128" s="143">
        <v>1320</v>
      </c>
      <c r="D128" s="143" t="s">
        <v>150</v>
      </c>
      <c r="E128" s="143" t="s">
        <v>44</v>
      </c>
      <c r="F128" s="175" t="s">
        <v>382</v>
      </c>
      <c r="G128" s="175" t="s">
        <v>370</v>
      </c>
      <c r="H128" s="175" t="s">
        <v>405</v>
      </c>
      <c r="I128" s="176">
        <v>5479650</v>
      </c>
      <c r="J128" s="177" t="s">
        <v>48</v>
      </c>
      <c r="K128" s="177" t="s">
        <v>48</v>
      </c>
      <c r="L128" s="178" t="s">
        <v>372</v>
      </c>
      <c r="M128" s="143" t="s">
        <v>50</v>
      </c>
      <c r="N128" s="145" t="str">
        <f t="shared" si="9"/>
        <v>Amparar el pago de suscripción a la Sociedad de Autores y Compositores SAYCO, necesario para el funcionamiento de la Emisora Pedagógica Radio.</v>
      </c>
      <c r="O128" s="146">
        <v>1</v>
      </c>
      <c r="P128" s="146">
        <v>1</v>
      </c>
      <c r="Q128" s="147">
        <v>11</v>
      </c>
      <c r="R128" s="148" t="s">
        <v>51</v>
      </c>
      <c r="S128" s="149" t="s">
        <v>406</v>
      </c>
      <c r="T128" s="150" t="s">
        <v>53</v>
      </c>
      <c r="U128" s="151">
        <f t="shared" si="7"/>
        <v>5479650</v>
      </c>
      <c r="V128" s="152">
        <f t="shared" si="8"/>
        <v>5479650</v>
      </c>
      <c r="W128" s="153" t="s">
        <v>54</v>
      </c>
      <c r="X128" s="153" t="s">
        <v>55</v>
      </c>
      <c r="Y128" s="154" t="s">
        <v>56</v>
      </c>
      <c r="Z128" s="155" t="s">
        <v>57</v>
      </c>
      <c r="AA128" s="156" t="s">
        <v>315</v>
      </c>
      <c r="AB128" s="157" t="s">
        <v>58</v>
      </c>
      <c r="AC128" s="158" t="s">
        <v>59</v>
      </c>
      <c r="AD128" s="153" t="s">
        <v>54</v>
      </c>
      <c r="AE128" s="153" t="s">
        <v>60</v>
      </c>
      <c r="AF128" s="159" t="s">
        <v>61</v>
      </c>
      <c r="AG128" s="159" t="s">
        <v>62</v>
      </c>
      <c r="AH128" s="159" t="s">
        <v>63</v>
      </c>
      <c r="AI128" s="159" t="s">
        <v>64</v>
      </c>
      <c r="AJ128" s="159" t="s">
        <v>64</v>
      </c>
      <c r="AK128" s="197" t="s">
        <v>64</v>
      </c>
    </row>
    <row r="129" spans="1:41" ht="84.75" customHeight="1" thickBot="1" x14ac:dyDescent="0.25">
      <c r="A129" s="1"/>
      <c r="B129" s="196" t="s">
        <v>315</v>
      </c>
      <c r="C129" s="143">
        <v>1320</v>
      </c>
      <c r="D129" s="143" t="s">
        <v>150</v>
      </c>
      <c r="E129" s="143" t="s">
        <v>44</v>
      </c>
      <c r="F129" s="175" t="s">
        <v>382</v>
      </c>
      <c r="G129" s="175" t="s">
        <v>370</v>
      </c>
      <c r="H129" s="175" t="s">
        <v>407</v>
      </c>
      <c r="I129" s="176">
        <f>13809000-(266400+3232406+2631580+100000)</f>
        <v>7578614</v>
      </c>
      <c r="J129" s="177" t="s">
        <v>60</v>
      </c>
      <c r="K129" s="177" t="s">
        <v>48</v>
      </c>
      <c r="L129" s="178" t="s">
        <v>372</v>
      </c>
      <c r="M129" s="143" t="s">
        <v>50</v>
      </c>
      <c r="N129" s="145" t="str">
        <f t="shared" si="9"/>
        <v>Amparar el pago de Otras organizaciones (3 nuevas afiliaciones internacionales) (3 SMLV)</v>
      </c>
      <c r="O129" s="146">
        <v>1</v>
      </c>
      <c r="P129" s="146">
        <v>1</v>
      </c>
      <c r="Q129" s="147">
        <v>11</v>
      </c>
      <c r="R129" s="148" t="s">
        <v>51</v>
      </c>
      <c r="S129" s="149" t="s">
        <v>408</v>
      </c>
      <c r="T129" s="150" t="s">
        <v>53</v>
      </c>
      <c r="U129" s="151">
        <f t="shared" si="7"/>
        <v>7578614</v>
      </c>
      <c r="V129" s="152">
        <f t="shared" si="8"/>
        <v>7578614</v>
      </c>
      <c r="W129" s="153" t="s">
        <v>54</v>
      </c>
      <c r="X129" s="153" t="s">
        <v>55</v>
      </c>
      <c r="Y129" s="154" t="s">
        <v>56</v>
      </c>
      <c r="Z129" s="155" t="s">
        <v>57</v>
      </c>
      <c r="AA129" s="156" t="s">
        <v>315</v>
      </c>
      <c r="AB129" s="157" t="s">
        <v>58</v>
      </c>
      <c r="AC129" s="158" t="s">
        <v>59</v>
      </c>
      <c r="AD129" s="153" t="s">
        <v>54</v>
      </c>
      <c r="AE129" s="153" t="s">
        <v>60</v>
      </c>
      <c r="AF129" s="159" t="s">
        <v>61</v>
      </c>
      <c r="AG129" s="159" t="s">
        <v>62</v>
      </c>
      <c r="AH129" s="159" t="s">
        <v>63</v>
      </c>
      <c r="AI129" s="159" t="s">
        <v>64</v>
      </c>
      <c r="AJ129" s="159" t="s">
        <v>64</v>
      </c>
      <c r="AK129" s="197" t="s">
        <v>64</v>
      </c>
    </row>
    <row r="130" spans="1:41" ht="84.75" customHeight="1" thickBot="1" x14ac:dyDescent="0.25">
      <c r="A130" s="1"/>
      <c r="B130" s="196" t="s">
        <v>315</v>
      </c>
      <c r="C130" s="143">
        <v>1320</v>
      </c>
      <c r="D130" s="143" t="s">
        <v>150</v>
      </c>
      <c r="E130" s="143" t="s">
        <v>44</v>
      </c>
      <c r="F130" s="175" t="s">
        <v>382</v>
      </c>
      <c r="G130" s="175" t="s">
        <v>370</v>
      </c>
      <c r="H130" s="175" t="s">
        <v>409</v>
      </c>
      <c r="I130" s="176">
        <v>7915050</v>
      </c>
      <c r="J130" s="177" t="s">
        <v>48</v>
      </c>
      <c r="K130" s="177" t="s">
        <v>48</v>
      </c>
      <c r="L130" s="178" t="s">
        <v>372</v>
      </c>
      <c r="M130" s="143" t="s">
        <v>50</v>
      </c>
      <c r="N130" s="145" t="str">
        <f t="shared" si="9"/>
        <v>Amparar el pago de suscripción a la Asociación Colombiana de Intérpretes y Productores Fonográficos ACINPRO, necesario para el funcionamiento de la Emisora Pedagógica Radio.</v>
      </c>
      <c r="O130" s="146">
        <v>1</v>
      </c>
      <c r="P130" s="146">
        <v>1</v>
      </c>
      <c r="Q130" s="147">
        <v>11</v>
      </c>
      <c r="R130" s="148" t="s">
        <v>51</v>
      </c>
      <c r="S130" s="149" t="s">
        <v>410</v>
      </c>
      <c r="T130" s="150" t="s">
        <v>53</v>
      </c>
      <c r="U130" s="151">
        <f t="shared" si="7"/>
        <v>7915050</v>
      </c>
      <c r="V130" s="152">
        <f t="shared" si="8"/>
        <v>7915050</v>
      </c>
      <c r="W130" s="153" t="s">
        <v>54</v>
      </c>
      <c r="X130" s="153" t="s">
        <v>55</v>
      </c>
      <c r="Y130" s="154" t="s">
        <v>56</v>
      </c>
      <c r="Z130" s="155" t="s">
        <v>57</v>
      </c>
      <c r="AA130" s="156" t="s">
        <v>315</v>
      </c>
      <c r="AB130" s="157" t="s">
        <v>58</v>
      </c>
      <c r="AC130" s="158" t="s">
        <v>59</v>
      </c>
      <c r="AD130" s="153" t="s">
        <v>54</v>
      </c>
      <c r="AE130" s="153" t="s">
        <v>60</v>
      </c>
      <c r="AF130" s="159" t="s">
        <v>61</v>
      </c>
      <c r="AG130" s="159" t="s">
        <v>62</v>
      </c>
      <c r="AH130" s="159" t="s">
        <v>63</v>
      </c>
      <c r="AI130" s="159" t="s">
        <v>64</v>
      </c>
      <c r="AJ130" s="159" t="s">
        <v>64</v>
      </c>
      <c r="AK130" s="197" t="s">
        <v>64</v>
      </c>
    </row>
    <row r="131" spans="1:41" ht="84.75" customHeight="1" thickBot="1" x14ac:dyDescent="0.25">
      <c r="A131" s="1"/>
      <c r="B131" s="196" t="s">
        <v>42</v>
      </c>
      <c r="C131" s="143">
        <v>1320</v>
      </c>
      <c r="D131" s="143" t="s">
        <v>150</v>
      </c>
      <c r="E131" s="143" t="s">
        <v>204</v>
      </c>
      <c r="F131" s="175" t="s">
        <v>411</v>
      </c>
      <c r="G131" s="175" t="s">
        <v>412</v>
      </c>
      <c r="H131" s="175" t="s">
        <v>413</v>
      </c>
      <c r="I131" s="176">
        <v>297558400</v>
      </c>
      <c r="J131" s="177" t="s">
        <v>48</v>
      </c>
      <c r="K131" s="177" t="s">
        <v>48</v>
      </c>
      <c r="L131" s="178" t="s">
        <v>153</v>
      </c>
      <c r="M131" s="143" t="s">
        <v>50</v>
      </c>
      <c r="N131" s="145" t="str">
        <f t="shared" si="9"/>
        <v xml:space="preserve">Auxilios Sindicales
</v>
      </c>
      <c r="O131" s="146">
        <v>1</v>
      </c>
      <c r="P131" s="146">
        <v>1</v>
      </c>
      <c r="Q131" s="147">
        <v>11</v>
      </c>
      <c r="R131" s="148" t="s">
        <v>51</v>
      </c>
      <c r="S131" s="149" t="s">
        <v>414</v>
      </c>
      <c r="T131" s="150" t="s">
        <v>53</v>
      </c>
      <c r="U131" s="151">
        <f t="shared" si="7"/>
        <v>297558400</v>
      </c>
      <c r="V131" s="152">
        <f t="shared" si="8"/>
        <v>297558400</v>
      </c>
      <c r="W131" s="153" t="s">
        <v>54</v>
      </c>
      <c r="X131" s="153" t="s">
        <v>55</v>
      </c>
      <c r="Y131" s="154" t="s">
        <v>56</v>
      </c>
      <c r="Z131" s="155" t="s">
        <v>57</v>
      </c>
      <c r="AA131" s="156" t="s">
        <v>42</v>
      </c>
      <c r="AB131" s="157" t="s">
        <v>58</v>
      </c>
      <c r="AC131" s="158" t="s">
        <v>59</v>
      </c>
      <c r="AD131" s="153" t="s">
        <v>54</v>
      </c>
      <c r="AE131" s="153" t="s">
        <v>60</v>
      </c>
      <c r="AF131" s="159" t="s">
        <v>61</v>
      </c>
      <c r="AG131" s="159" t="s">
        <v>62</v>
      </c>
      <c r="AH131" s="159" t="s">
        <v>63</v>
      </c>
      <c r="AI131" s="159" t="s">
        <v>64</v>
      </c>
      <c r="AJ131" s="159" t="s">
        <v>64</v>
      </c>
      <c r="AK131" s="197" t="s">
        <v>64</v>
      </c>
    </row>
    <row r="132" spans="1:41" ht="84.75" customHeight="1" thickBot="1" x14ac:dyDescent="0.25">
      <c r="A132" s="1"/>
      <c r="B132" s="196" t="s">
        <v>42</v>
      </c>
      <c r="C132" s="143">
        <v>1320</v>
      </c>
      <c r="D132" s="143" t="s">
        <v>150</v>
      </c>
      <c r="E132" s="143" t="s">
        <v>204</v>
      </c>
      <c r="F132" s="175" t="s">
        <v>415</v>
      </c>
      <c r="G132" s="175" t="s">
        <v>416</v>
      </c>
      <c r="H132" s="175" t="s">
        <v>416</v>
      </c>
      <c r="I132" s="176">
        <v>5451159</v>
      </c>
      <c r="J132" s="177" t="s">
        <v>48</v>
      </c>
      <c r="K132" s="177" t="s">
        <v>48</v>
      </c>
      <c r="L132" s="178" t="s">
        <v>153</v>
      </c>
      <c r="M132" s="143" t="s">
        <v>50</v>
      </c>
      <c r="N132" s="145" t="str">
        <f t="shared" si="9"/>
        <v>Prima o auxilio de Maternidad</v>
      </c>
      <c r="O132" s="146">
        <v>1</v>
      </c>
      <c r="P132" s="146">
        <v>1</v>
      </c>
      <c r="Q132" s="147">
        <v>11</v>
      </c>
      <c r="R132" s="148" t="s">
        <v>51</v>
      </c>
      <c r="S132" s="149" t="s">
        <v>414</v>
      </c>
      <c r="T132" s="150" t="s">
        <v>53</v>
      </c>
      <c r="U132" s="151">
        <f t="shared" si="7"/>
        <v>5451159</v>
      </c>
      <c r="V132" s="152">
        <f t="shared" si="8"/>
        <v>5451159</v>
      </c>
      <c r="W132" s="153" t="s">
        <v>54</v>
      </c>
      <c r="X132" s="153" t="s">
        <v>55</v>
      </c>
      <c r="Y132" s="154" t="s">
        <v>56</v>
      </c>
      <c r="Z132" s="155" t="s">
        <v>57</v>
      </c>
      <c r="AA132" s="156" t="s">
        <v>42</v>
      </c>
      <c r="AB132" s="157" t="s">
        <v>58</v>
      </c>
      <c r="AC132" s="158" t="s">
        <v>59</v>
      </c>
      <c r="AD132" s="153" t="s">
        <v>54</v>
      </c>
      <c r="AE132" s="153" t="s">
        <v>60</v>
      </c>
      <c r="AF132" s="159" t="s">
        <v>61</v>
      </c>
      <c r="AG132" s="159" t="s">
        <v>62</v>
      </c>
      <c r="AH132" s="159" t="s">
        <v>63</v>
      </c>
      <c r="AI132" s="159" t="s">
        <v>64</v>
      </c>
      <c r="AJ132" s="159" t="s">
        <v>64</v>
      </c>
      <c r="AK132" s="197" t="s">
        <v>64</v>
      </c>
    </row>
    <row r="133" spans="1:41" ht="84.75" customHeight="1" thickBot="1" x14ac:dyDescent="0.25">
      <c r="A133" s="1"/>
      <c r="B133" s="196" t="s">
        <v>42</v>
      </c>
      <c r="C133" s="143">
        <v>1320</v>
      </c>
      <c r="D133" s="143" t="s">
        <v>150</v>
      </c>
      <c r="E133" s="143" t="s">
        <v>204</v>
      </c>
      <c r="F133" s="175" t="s">
        <v>417</v>
      </c>
      <c r="G133" s="175" t="s">
        <v>418</v>
      </c>
      <c r="H133" s="175" t="s">
        <v>418</v>
      </c>
      <c r="I133" s="176">
        <v>0</v>
      </c>
      <c r="J133" s="177" t="s">
        <v>48</v>
      </c>
      <c r="K133" s="177" t="s">
        <v>48</v>
      </c>
      <c r="L133" s="178" t="s">
        <v>153</v>
      </c>
      <c r="M133" s="143" t="s">
        <v>50</v>
      </c>
      <c r="N133" s="145" t="str">
        <f t="shared" si="9"/>
        <v>Incentivo por Jubilación</v>
      </c>
      <c r="O133" s="146">
        <v>1</v>
      </c>
      <c r="P133" s="146">
        <v>1</v>
      </c>
      <c r="Q133" s="147">
        <v>11</v>
      </c>
      <c r="R133" s="148" t="s">
        <v>51</v>
      </c>
      <c r="S133" s="149" t="s">
        <v>414</v>
      </c>
      <c r="T133" s="150" t="s">
        <v>53</v>
      </c>
      <c r="U133" s="151">
        <f t="shared" si="7"/>
        <v>0</v>
      </c>
      <c r="V133" s="152">
        <f t="shared" si="8"/>
        <v>0</v>
      </c>
      <c r="W133" s="153" t="s">
        <v>54</v>
      </c>
      <c r="X133" s="153" t="s">
        <v>55</v>
      </c>
      <c r="Y133" s="154" t="s">
        <v>56</v>
      </c>
      <c r="Z133" s="155" t="s">
        <v>57</v>
      </c>
      <c r="AA133" s="156" t="s">
        <v>42</v>
      </c>
      <c r="AB133" s="157" t="s">
        <v>58</v>
      </c>
      <c r="AC133" s="158" t="s">
        <v>59</v>
      </c>
      <c r="AD133" s="153" t="s">
        <v>54</v>
      </c>
      <c r="AE133" s="153" t="s">
        <v>60</v>
      </c>
      <c r="AF133" s="159" t="s">
        <v>61</v>
      </c>
      <c r="AG133" s="159" t="s">
        <v>62</v>
      </c>
      <c r="AH133" s="159" t="s">
        <v>63</v>
      </c>
      <c r="AI133" s="159" t="s">
        <v>64</v>
      </c>
      <c r="AJ133" s="159" t="s">
        <v>64</v>
      </c>
      <c r="AK133" s="197" t="s">
        <v>64</v>
      </c>
    </row>
    <row r="134" spans="1:41" ht="84.75" customHeight="1" thickBot="1" x14ac:dyDescent="0.25">
      <c r="A134" s="1"/>
      <c r="B134" s="196" t="s">
        <v>42</v>
      </c>
      <c r="C134" s="143">
        <v>1320</v>
      </c>
      <c r="D134" s="143" t="s">
        <v>150</v>
      </c>
      <c r="E134" s="143" t="s">
        <v>204</v>
      </c>
      <c r="F134" s="175" t="s">
        <v>419</v>
      </c>
      <c r="G134" s="175" t="s">
        <v>420</v>
      </c>
      <c r="H134" s="175" t="s">
        <v>420</v>
      </c>
      <c r="I134" s="176">
        <v>48086473</v>
      </c>
      <c r="J134" s="177" t="s">
        <v>48</v>
      </c>
      <c r="K134" s="177" t="s">
        <v>48</v>
      </c>
      <c r="L134" s="178" t="s">
        <v>153</v>
      </c>
      <c r="M134" s="143" t="s">
        <v>50</v>
      </c>
      <c r="N134" s="145" t="str">
        <f t="shared" si="9"/>
        <v>Auxilios funerarios a cargo de la entidad</v>
      </c>
      <c r="O134" s="146">
        <v>1</v>
      </c>
      <c r="P134" s="146">
        <v>1</v>
      </c>
      <c r="Q134" s="147">
        <v>11</v>
      </c>
      <c r="R134" s="148" t="s">
        <v>51</v>
      </c>
      <c r="S134" s="149" t="s">
        <v>414</v>
      </c>
      <c r="T134" s="150" t="s">
        <v>53</v>
      </c>
      <c r="U134" s="151">
        <f t="shared" si="7"/>
        <v>48086473</v>
      </c>
      <c r="V134" s="152">
        <f t="shared" si="8"/>
        <v>48086473</v>
      </c>
      <c r="W134" s="153" t="s">
        <v>54</v>
      </c>
      <c r="X134" s="153" t="s">
        <v>55</v>
      </c>
      <c r="Y134" s="154" t="s">
        <v>56</v>
      </c>
      <c r="Z134" s="155" t="s">
        <v>57</v>
      </c>
      <c r="AA134" s="156" t="s">
        <v>42</v>
      </c>
      <c r="AB134" s="157" t="s">
        <v>58</v>
      </c>
      <c r="AC134" s="158" t="s">
        <v>59</v>
      </c>
      <c r="AD134" s="153" t="s">
        <v>54</v>
      </c>
      <c r="AE134" s="153" t="s">
        <v>60</v>
      </c>
      <c r="AF134" s="159" t="s">
        <v>61</v>
      </c>
      <c r="AG134" s="159" t="s">
        <v>62</v>
      </c>
      <c r="AH134" s="159" t="s">
        <v>63</v>
      </c>
      <c r="AI134" s="159" t="s">
        <v>64</v>
      </c>
      <c r="AJ134" s="159" t="s">
        <v>64</v>
      </c>
      <c r="AK134" s="197" t="s">
        <v>64</v>
      </c>
    </row>
    <row r="135" spans="1:41" ht="84.75" customHeight="1" thickBot="1" x14ac:dyDescent="0.25">
      <c r="A135" s="1"/>
      <c r="B135" s="196" t="s">
        <v>42</v>
      </c>
      <c r="C135" s="143">
        <v>1320</v>
      </c>
      <c r="D135" s="143" t="s">
        <v>150</v>
      </c>
      <c r="E135" s="143" t="s">
        <v>204</v>
      </c>
      <c r="F135" s="175" t="s">
        <v>411</v>
      </c>
      <c r="G135" s="175" t="s">
        <v>412</v>
      </c>
      <c r="H135" s="175" t="s">
        <v>412</v>
      </c>
      <c r="I135" s="176">
        <v>9756393</v>
      </c>
      <c r="J135" s="177" t="s">
        <v>48</v>
      </c>
      <c r="K135" s="177" t="s">
        <v>48</v>
      </c>
      <c r="L135" s="178" t="s">
        <v>153</v>
      </c>
      <c r="M135" s="143" t="s">
        <v>50</v>
      </c>
      <c r="N135" s="145" t="str">
        <f t="shared" si="9"/>
        <v>Auxilio sindical (no de pensiones)</v>
      </c>
      <c r="O135" s="146">
        <v>1</v>
      </c>
      <c r="P135" s="146">
        <v>1</v>
      </c>
      <c r="Q135" s="147">
        <v>11</v>
      </c>
      <c r="R135" s="148" t="s">
        <v>51</v>
      </c>
      <c r="S135" s="149" t="s">
        <v>414</v>
      </c>
      <c r="T135" s="150" t="s">
        <v>53</v>
      </c>
      <c r="U135" s="151">
        <f t="shared" si="7"/>
        <v>9756393</v>
      </c>
      <c r="V135" s="152">
        <f t="shared" si="8"/>
        <v>9756393</v>
      </c>
      <c r="W135" s="153" t="s">
        <v>54</v>
      </c>
      <c r="X135" s="153" t="s">
        <v>55</v>
      </c>
      <c r="Y135" s="154" t="s">
        <v>56</v>
      </c>
      <c r="Z135" s="155" t="s">
        <v>57</v>
      </c>
      <c r="AA135" s="156" t="s">
        <v>42</v>
      </c>
      <c r="AB135" s="157" t="s">
        <v>58</v>
      </c>
      <c r="AC135" s="158" t="s">
        <v>59</v>
      </c>
      <c r="AD135" s="153" t="s">
        <v>54</v>
      </c>
      <c r="AE135" s="153" t="s">
        <v>60</v>
      </c>
      <c r="AF135" s="159" t="s">
        <v>61</v>
      </c>
      <c r="AG135" s="159" t="s">
        <v>62</v>
      </c>
      <c r="AH135" s="159" t="s">
        <v>63</v>
      </c>
      <c r="AI135" s="159" t="s">
        <v>64</v>
      </c>
      <c r="AJ135" s="159" t="s">
        <v>64</v>
      </c>
      <c r="AK135" s="197" t="s">
        <v>64</v>
      </c>
    </row>
    <row r="136" spans="1:41" ht="84.75" customHeight="1" thickBot="1" x14ac:dyDescent="0.25">
      <c r="A136" s="1"/>
      <c r="B136" s="196" t="s">
        <v>42</v>
      </c>
      <c r="C136" s="143">
        <v>1320</v>
      </c>
      <c r="D136" s="143" t="s">
        <v>150</v>
      </c>
      <c r="E136" s="143" t="s">
        <v>204</v>
      </c>
      <c r="F136" s="175" t="s">
        <v>421</v>
      </c>
      <c r="G136" s="175" t="s">
        <v>422</v>
      </c>
      <c r="H136" s="175" t="s">
        <v>422</v>
      </c>
      <c r="I136" s="176">
        <v>4769763</v>
      </c>
      <c r="J136" s="177" t="s">
        <v>48</v>
      </c>
      <c r="K136" s="177" t="s">
        <v>48</v>
      </c>
      <c r="L136" s="178" t="s">
        <v>153</v>
      </c>
      <c r="M136" s="143" t="s">
        <v>50</v>
      </c>
      <c r="N136" s="145" t="str">
        <f t="shared" si="9"/>
        <v>Auxilio de Incapacidad</v>
      </c>
      <c r="O136" s="146">
        <v>1</v>
      </c>
      <c r="P136" s="146">
        <v>1</v>
      </c>
      <c r="Q136" s="147">
        <v>11</v>
      </c>
      <c r="R136" s="148" t="s">
        <v>51</v>
      </c>
      <c r="S136" s="149" t="s">
        <v>414</v>
      </c>
      <c r="T136" s="150" t="s">
        <v>53</v>
      </c>
      <c r="U136" s="151">
        <f t="shared" si="7"/>
        <v>4769763</v>
      </c>
      <c r="V136" s="152">
        <f t="shared" si="8"/>
        <v>4769763</v>
      </c>
      <c r="W136" s="153" t="s">
        <v>54</v>
      </c>
      <c r="X136" s="153" t="s">
        <v>55</v>
      </c>
      <c r="Y136" s="154" t="s">
        <v>56</v>
      </c>
      <c r="Z136" s="155" t="s">
        <v>57</v>
      </c>
      <c r="AA136" s="156" t="s">
        <v>42</v>
      </c>
      <c r="AB136" s="157" t="s">
        <v>58</v>
      </c>
      <c r="AC136" s="158" t="s">
        <v>59</v>
      </c>
      <c r="AD136" s="153" t="s">
        <v>54</v>
      </c>
      <c r="AE136" s="153" t="s">
        <v>60</v>
      </c>
      <c r="AF136" s="159" t="s">
        <v>61</v>
      </c>
      <c r="AG136" s="159" t="s">
        <v>62</v>
      </c>
      <c r="AH136" s="159" t="s">
        <v>63</v>
      </c>
      <c r="AI136" s="159" t="s">
        <v>64</v>
      </c>
      <c r="AJ136" s="159" t="s">
        <v>64</v>
      </c>
      <c r="AK136" s="197" t="s">
        <v>64</v>
      </c>
    </row>
    <row r="137" spans="1:41" ht="84.75" customHeight="1" thickBot="1" x14ac:dyDescent="0.25">
      <c r="A137" s="1"/>
      <c r="B137" s="196" t="s">
        <v>42</v>
      </c>
      <c r="C137" s="143">
        <v>1320</v>
      </c>
      <c r="D137" s="143" t="s">
        <v>150</v>
      </c>
      <c r="E137" s="143" t="s">
        <v>204</v>
      </c>
      <c r="F137" s="175" t="s">
        <v>423</v>
      </c>
      <c r="G137" s="175" t="s">
        <v>424</v>
      </c>
      <c r="H137" s="175" t="s">
        <v>424</v>
      </c>
      <c r="I137" s="176">
        <v>33889822</v>
      </c>
      <c r="J137" s="177" t="s">
        <v>48</v>
      </c>
      <c r="K137" s="177" t="s">
        <v>48</v>
      </c>
      <c r="L137" s="178" t="s">
        <v>153</v>
      </c>
      <c r="M137" s="143" t="s">
        <v>50</v>
      </c>
      <c r="N137" s="145" t="str">
        <f t="shared" si="9"/>
        <v>Auxilios Salud Visual</v>
      </c>
      <c r="O137" s="146">
        <v>1</v>
      </c>
      <c r="P137" s="146">
        <v>1</v>
      </c>
      <c r="Q137" s="147">
        <v>11</v>
      </c>
      <c r="R137" s="148" t="s">
        <v>51</v>
      </c>
      <c r="S137" s="149" t="s">
        <v>414</v>
      </c>
      <c r="T137" s="150" t="s">
        <v>53</v>
      </c>
      <c r="U137" s="151">
        <f t="shared" si="7"/>
        <v>33889822</v>
      </c>
      <c r="V137" s="152">
        <f t="shared" si="8"/>
        <v>33889822</v>
      </c>
      <c r="W137" s="153" t="s">
        <v>54</v>
      </c>
      <c r="X137" s="153" t="s">
        <v>55</v>
      </c>
      <c r="Y137" s="154" t="s">
        <v>56</v>
      </c>
      <c r="Z137" s="155" t="s">
        <v>57</v>
      </c>
      <c r="AA137" s="156" t="s">
        <v>42</v>
      </c>
      <c r="AB137" s="157" t="s">
        <v>58</v>
      </c>
      <c r="AC137" s="158" t="s">
        <v>59</v>
      </c>
      <c r="AD137" s="153" t="s">
        <v>54</v>
      </c>
      <c r="AE137" s="153" t="s">
        <v>60</v>
      </c>
      <c r="AF137" s="159" t="s">
        <v>61</v>
      </c>
      <c r="AG137" s="159" t="s">
        <v>62</v>
      </c>
      <c r="AH137" s="159" t="s">
        <v>63</v>
      </c>
      <c r="AI137" s="159" t="s">
        <v>64</v>
      </c>
      <c r="AJ137" s="159" t="s">
        <v>64</v>
      </c>
      <c r="AK137" s="197" t="s">
        <v>64</v>
      </c>
    </row>
    <row r="138" spans="1:41" ht="84.75" customHeight="1" thickBot="1" x14ac:dyDescent="0.25">
      <c r="A138" s="1"/>
      <c r="B138" s="196" t="s">
        <v>42</v>
      </c>
      <c r="C138" s="143">
        <v>1320</v>
      </c>
      <c r="D138" s="143" t="s">
        <v>150</v>
      </c>
      <c r="E138" s="143" t="s">
        <v>204</v>
      </c>
      <c r="F138" s="175" t="s">
        <v>425</v>
      </c>
      <c r="G138" s="175" t="s">
        <v>426</v>
      </c>
      <c r="H138" s="175" t="s">
        <v>426</v>
      </c>
      <c r="I138" s="176">
        <v>28750000</v>
      </c>
      <c r="J138" s="177" t="s">
        <v>48</v>
      </c>
      <c r="K138" s="177" t="s">
        <v>48</v>
      </c>
      <c r="L138" s="178" t="s">
        <v>153</v>
      </c>
      <c r="M138" s="143" t="s">
        <v>50</v>
      </c>
      <c r="N138" s="145" t="str">
        <f t="shared" si="9"/>
        <v>Auxilios Médicos</v>
      </c>
      <c r="O138" s="146">
        <v>1</v>
      </c>
      <c r="P138" s="146">
        <v>1</v>
      </c>
      <c r="Q138" s="147">
        <v>11</v>
      </c>
      <c r="R138" s="148" t="s">
        <v>51</v>
      </c>
      <c r="S138" s="149" t="s">
        <v>414</v>
      </c>
      <c r="T138" s="150" t="s">
        <v>53</v>
      </c>
      <c r="U138" s="151">
        <f t="shared" si="7"/>
        <v>28750000</v>
      </c>
      <c r="V138" s="152">
        <f t="shared" si="8"/>
        <v>28750000</v>
      </c>
      <c r="W138" s="153" t="s">
        <v>54</v>
      </c>
      <c r="X138" s="153" t="s">
        <v>55</v>
      </c>
      <c r="Y138" s="154" t="s">
        <v>56</v>
      </c>
      <c r="Z138" s="155" t="s">
        <v>57</v>
      </c>
      <c r="AA138" s="156" t="s">
        <v>42</v>
      </c>
      <c r="AB138" s="157" t="s">
        <v>58</v>
      </c>
      <c r="AC138" s="158" t="s">
        <v>59</v>
      </c>
      <c r="AD138" s="153" t="s">
        <v>54</v>
      </c>
      <c r="AE138" s="153" t="s">
        <v>60</v>
      </c>
      <c r="AF138" s="159" t="s">
        <v>61</v>
      </c>
      <c r="AG138" s="159" t="s">
        <v>62</v>
      </c>
      <c r="AH138" s="159" t="s">
        <v>63</v>
      </c>
      <c r="AI138" s="159" t="s">
        <v>64</v>
      </c>
      <c r="AJ138" s="159" t="s">
        <v>64</v>
      </c>
      <c r="AK138" s="197" t="s">
        <v>64</v>
      </c>
    </row>
    <row r="139" spans="1:41" ht="84.75" customHeight="1" thickBot="1" x14ac:dyDescent="0.25">
      <c r="A139" s="1"/>
      <c r="B139" s="196" t="s">
        <v>42</v>
      </c>
      <c r="C139" s="143">
        <v>1320</v>
      </c>
      <c r="D139" s="143" t="s">
        <v>150</v>
      </c>
      <c r="E139" s="143" t="s">
        <v>204</v>
      </c>
      <c r="F139" s="175" t="s">
        <v>427</v>
      </c>
      <c r="G139" s="175" t="s">
        <v>428</v>
      </c>
      <c r="H139" s="175" t="s">
        <v>428</v>
      </c>
      <c r="I139" s="176">
        <v>125001278</v>
      </c>
      <c r="J139" s="177" t="s">
        <v>48</v>
      </c>
      <c r="K139" s="177" t="s">
        <v>48</v>
      </c>
      <c r="L139" s="178" t="s">
        <v>153</v>
      </c>
      <c r="M139" s="143" t="s">
        <v>50</v>
      </c>
      <c r="N139" s="145" t="str">
        <f t="shared" si="9"/>
        <v>Auxilios Educativos</v>
      </c>
      <c r="O139" s="146">
        <v>1</v>
      </c>
      <c r="P139" s="146">
        <v>1</v>
      </c>
      <c r="Q139" s="147">
        <v>11</v>
      </c>
      <c r="R139" s="148" t="s">
        <v>51</v>
      </c>
      <c r="S139" s="149" t="s">
        <v>414</v>
      </c>
      <c r="T139" s="150" t="s">
        <v>53</v>
      </c>
      <c r="U139" s="151">
        <f t="shared" si="7"/>
        <v>125001278</v>
      </c>
      <c r="V139" s="152">
        <f t="shared" si="8"/>
        <v>125001278</v>
      </c>
      <c r="W139" s="153" t="s">
        <v>54</v>
      </c>
      <c r="X139" s="153" t="s">
        <v>55</v>
      </c>
      <c r="Y139" s="154" t="s">
        <v>56</v>
      </c>
      <c r="Z139" s="155" t="s">
        <v>57</v>
      </c>
      <c r="AA139" s="156" t="s">
        <v>42</v>
      </c>
      <c r="AB139" s="157" t="s">
        <v>58</v>
      </c>
      <c r="AC139" s="158" t="s">
        <v>59</v>
      </c>
      <c r="AD139" s="153" t="s">
        <v>54</v>
      </c>
      <c r="AE139" s="153" t="s">
        <v>60</v>
      </c>
      <c r="AF139" s="159" t="s">
        <v>61</v>
      </c>
      <c r="AG139" s="159" t="s">
        <v>62</v>
      </c>
      <c r="AH139" s="159" t="s">
        <v>63</v>
      </c>
      <c r="AI139" s="159" t="s">
        <v>64</v>
      </c>
      <c r="AJ139" s="159" t="s">
        <v>64</v>
      </c>
      <c r="AK139" s="197" t="s">
        <v>64</v>
      </c>
    </row>
    <row r="140" spans="1:41" ht="84.75" customHeight="1" thickBot="1" x14ac:dyDescent="0.25">
      <c r="A140" s="1"/>
      <c r="B140" s="196" t="s">
        <v>42</v>
      </c>
      <c r="C140" s="143">
        <v>1331</v>
      </c>
      <c r="D140" s="143" t="s">
        <v>429</v>
      </c>
      <c r="E140" s="143" t="s">
        <v>44</v>
      </c>
      <c r="F140" s="175" t="s">
        <v>430</v>
      </c>
      <c r="G140" s="175" t="s">
        <v>431</v>
      </c>
      <c r="H140" s="175" t="s">
        <v>432</v>
      </c>
      <c r="I140" s="176">
        <f>14000000+10000000</f>
        <v>24000000</v>
      </c>
      <c r="J140" s="177" t="s">
        <v>48</v>
      </c>
      <c r="K140" s="177" t="s">
        <v>48</v>
      </c>
      <c r="L140" s="178" t="s">
        <v>70</v>
      </c>
      <c r="M140" s="143" t="s">
        <v>50</v>
      </c>
      <c r="N140" s="145" t="str">
        <f t="shared" si="9"/>
        <v>Amparar los apoyos  económicos vigencia 2024</v>
      </c>
      <c r="O140" s="146">
        <v>1</v>
      </c>
      <c r="P140" s="146">
        <v>1</v>
      </c>
      <c r="Q140" s="147">
        <v>11</v>
      </c>
      <c r="R140" s="148" t="s">
        <v>51</v>
      </c>
      <c r="S140" s="149" t="s">
        <v>433</v>
      </c>
      <c r="T140" s="150" t="s">
        <v>53</v>
      </c>
      <c r="U140" s="151">
        <f t="shared" si="7"/>
        <v>24000000</v>
      </c>
      <c r="V140" s="152">
        <f t="shared" si="8"/>
        <v>24000000</v>
      </c>
      <c r="W140" s="153" t="s">
        <v>54</v>
      </c>
      <c r="X140" s="153" t="s">
        <v>55</v>
      </c>
      <c r="Y140" s="154" t="s">
        <v>56</v>
      </c>
      <c r="Z140" s="155" t="s">
        <v>57</v>
      </c>
      <c r="AA140" s="156" t="s">
        <v>42</v>
      </c>
      <c r="AB140" s="157" t="s">
        <v>58</v>
      </c>
      <c r="AC140" s="158" t="s">
        <v>59</v>
      </c>
      <c r="AD140" s="153" t="s">
        <v>54</v>
      </c>
      <c r="AE140" s="153" t="s">
        <v>60</v>
      </c>
      <c r="AF140" s="159" t="s">
        <v>61</v>
      </c>
      <c r="AG140" s="159" t="s">
        <v>62</v>
      </c>
      <c r="AH140" s="159" t="s">
        <v>63</v>
      </c>
      <c r="AI140" s="159" t="s">
        <v>64</v>
      </c>
      <c r="AJ140" s="159" t="s">
        <v>64</v>
      </c>
      <c r="AK140" s="197" t="s">
        <v>64</v>
      </c>
    </row>
    <row r="141" spans="1:41" s="128" customFormat="1" ht="84.75" customHeight="1" thickBot="1" x14ac:dyDescent="0.25">
      <c r="A141" s="1"/>
      <c r="B141" s="196" t="s">
        <v>42</v>
      </c>
      <c r="C141" s="143">
        <v>1320</v>
      </c>
      <c r="D141" s="143" t="s">
        <v>150</v>
      </c>
      <c r="E141" s="143" t="s">
        <v>44</v>
      </c>
      <c r="F141" s="175" t="s">
        <v>430</v>
      </c>
      <c r="G141" s="175" t="s">
        <v>431</v>
      </c>
      <c r="H141" s="175" t="s">
        <v>1227</v>
      </c>
      <c r="I141" s="176">
        <v>5000000</v>
      </c>
      <c r="J141" s="177" t="s">
        <v>48</v>
      </c>
      <c r="K141" s="177" t="s">
        <v>48</v>
      </c>
      <c r="L141" s="178" t="s">
        <v>143</v>
      </c>
      <c r="M141" s="143" t="s">
        <v>50</v>
      </c>
      <c r="N141" s="145" t="str">
        <f>H141</f>
        <v>Amparar el apoyo económico de gastos de viaje: transporte  para cada uno de los estudiantes que participaran en la Cuarta Brigada Internacional Juvenil por la Paz de Colombia, que se desarrollará en el departamento de Cauca, región del Cañón del Micay, entre los días 25 al 29 de abril de 2024.</v>
      </c>
      <c r="O141" s="146">
        <v>4</v>
      </c>
      <c r="P141" s="146">
        <v>7</v>
      </c>
      <c r="Q141" s="147">
        <v>7</v>
      </c>
      <c r="R141" s="148" t="s">
        <v>51</v>
      </c>
      <c r="S141" s="149" t="s">
        <v>433</v>
      </c>
      <c r="T141" s="150" t="s">
        <v>53</v>
      </c>
      <c r="U141" s="151">
        <f t="shared" ref="U141" si="10">+I141</f>
        <v>5000000</v>
      </c>
      <c r="V141" s="152">
        <f t="shared" ref="V141" si="11">+U141</f>
        <v>5000000</v>
      </c>
      <c r="W141" s="153" t="s">
        <v>54</v>
      </c>
      <c r="X141" s="153" t="s">
        <v>55</v>
      </c>
      <c r="Y141" s="154" t="s">
        <v>56</v>
      </c>
      <c r="Z141" s="155" t="s">
        <v>57</v>
      </c>
      <c r="AA141" s="156" t="s">
        <v>42</v>
      </c>
      <c r="AB141" s="157" t="s">
        <v>58</v>
      </c>
      <c r="AC141" s="158" t="s">
        <v>59</v>
      </c>
      <c r="AD141" s="153" t="s">
        <v>54</v>
      </c>
      <c r="AE141" s="153" t="s">
        <v>60</v>
      </c>
      <c r="AF141" s="159" t="s">
        <v>61</v>
      </c>
      <c r="AG141" s="159" t="s">
        <v>62</v>
      </c>
      <c r="AH141" s="159" t="s">
        <v>63</v>
      </c>
      <c r="AI141" s="159" t="s">
        <v>64</v>
      </c>
      <c r="AJ141" s="159" t="s">
        <v>64</v>
      </c>
      <c r="AK141" s="197" t="s">
        <v>64</v>
      </c>
      <c r="AL141" s="29"/>
      <c r="AM141" s="29"/>
      <c r="AN141" s="29"/>
      <c r="AO141" s="29"/>
    </row>
    <row r="142" spans="1:41" s="34" customFormat="1" ht="84.75" customHeight="1" thickBot="1" x14ac:dyDescent="0.25">
      <c r="A142" s="1"/>
      <c r="B142" s="196" t="s">
        <v>42</v>
      </c>
      <c r="C142" s="143">
        <v>1320</v>
      </c>
      <c r="D142" s="143" t="s">
        <v>150</v>
      </c>
      <c r="E142" s="143" t="s">
        <v>44</v>
      </c>
      <c r="F142" s="175" t="s">
        <v>430</v>
      </c>
      <c r="G142" s="175" t="s">
        <v>431</v>
      </c>
      <c r="H142" s="175" t="s">
        <v>1228</v>
      </c>
      <c r="I142" s="176">
        <v>3000000</v>
      </c>
      <c r="J142" s="177" t="s">
        <v>48</v>
      </c>
      <c r="K142" s="177" t="s">
        <v>48</v>
      </c>
      <c r="L142" s="178" t="s">
        <v>143</v>
      </c>
      <c r="M142" s="143" t="s">
        <v>50</v>
      </c>
      <c r="N142" s="145" t="str">
        <f>H142</f>
        <v>Amparar el pago del apoyo económico para los estudiantes de la Universidad Pedagógica Nacional que participarán en el evento “COP16 de Biodiversidad - 2024".</v>
      </c>
      <c r="O142" s="146">
        <v>10</v>
      </c>
      <c r="P142" s="146">
        <v>2</v>
      </c>
      <c r="Q142" s="147">
        <v>2</v>
      </c>
      <c r="R142" s="148" t="s">
        <v>51</v>
      </c>
      <c r="S142" s="149" t="s">
        <v>433</v>
      </c>
      <c r="T142" s="150" t="s">
        <v>53</v>
      </c>
      <c r="U142" s="151">
        <f t="shared" si="7"/>
        <v>3000000</v>
      </c>
      <c r="V142" s="152">
        <f t="shared" si="8"/>
        <v>3000000</v>
      </c>
      <c r="W142" s="153" t="s">
        <v>54</v>
      </c>
      <c r="X142" s="153" t="s">
        <v>55</v>
      </c>
      <c r="Y142" s="154" t="s">
        <v>56</v>
      </c>
      <c r="Z142" s="155" t="s">
        <v>57</v>
      </c>
      <c r="AA142" s="156" t="s">
        <v>42</v>
      </c>
      <c r="AB142" s="157" t="s">
        <v>58</v>
      </c>
      <c r="AC142" s="158" t="s">
        <v>59</v>
      </c>
      <c r="AD142" s="153" t="s">
        <v>54</v>
      </c>
      <c r="AE142" s="153" t="s">
        <v>60</v>
      </c>
      <c r="AF142" s="159" t="s">
        <v>61</v>
      </c>
      <c r="AG142" s="159" t="s">
        <v>62</v>
      </c>
      <c r="AH142" s="159" t="s">
        <v>63</v>
      </c>
      <c r="AI142" s="159" t="s">
        <v>64</v>
      </c>
      <c r="AJ142" s="159" t="s">
        <v>64</v>
      </c>
      <c r="AK142" s="197" t="s">
        <v>64</v>
      </c>
      <c r="AL142" s="29"/>
      <c r="AM142" s="29"/>
      <c r="AN142" s="29"/>
      <c r="AO142" s="29"/>
    </row>
    <row r="143" spans="1:41" ht="84.75" customHeight="1" thickBot="1" x14ac:dyDescent="0.25">
      <c r="A143" s="1"/>
      <c r="B143" s="196" t="s">
        <v>42</v>
      </c>
      <c r="C143" s="143">
        <v>1320</v>
      </c>
      <c r="D143" s="143" t="s">
        <v>150</v>
      </c>
      <c r="E143" s="143" t="s">
        <v>44</v>
      </c>
      <c r="F143" s="175" t="s">
        <v>434</v>
      </c>
      <c r="G143" s="175" t="s">
        <v>435</v>
      </c>
      <c r="H143" s="175" t="s">
        <v>435</v>
      </c>
      <c r="I143" s="176">
        <v>185640000</v>
      </c>
      <c r="J143" s="177" t="s">
        <v>48</v>
      </c>
      <c r="K143" s="177" t="s">
        <v>48</v>
      </c>
      <c r="L143" s="178" t="s">
        <v>143</v>
      </c>
      <c r="M143" s="143" t="s">
        <v>50</v>
      </c>
      <c r="N143" s="145" t="str">
        <f t="shared" si="9"/>
        <v>Sentencias</v>
      </c>
      <c r="O143" s="146">
        <v>1</v>
      </c>
      <c r="P143" s="146">
        <v>1</v>
      </c>
      <c r="Q143" s="147">
        <v>11</v>
      </c>
      <c r="R143" s="148" t="s">
        <v>51</v>
      </c>
      <c r="S143" s="149" t="s">
        <v>436</v>
      </c>
      <c r="T143" s="150" t="s">
        <v>53</v>
      </c>
      <c r="U143" s="151">
        <f t="shared" si="7"/>
        <v>185640000</v>
      </c>
      <c r="V143" s="152">
        <f t="shared" si="8"/>
        <v>185640000</v>
      </c>
      <c r="W143" s="153" t="s">
        <v>54</v>
      </c>
      <c r="X143" s="153" t="s">
        <v>55</v>
      </c>
      <c r="Y143" s="154" t="s">
        <v>56</v>
      </c>
      <c r="Z143" s="155" t="s">
        <v>57</v>
      </c>
      <c r="AA143" s="156" t="s">
        <v>42</v>
      </c>
      <c r="AB143" s="157" t="s">
        <v>58</v>
      </c>
      <c r="AC143" s="158" t="s">
        <v>59</v>
      </c>
      <c r="AD143" s="153" t="s">
        <v>54</v>
      </c>
      <c r="AE143" s="153" t="s">
        <v>60</v>
      </c>
      <c r="AF143" s="159" t="s">
        <v>61</v>
      </c>
      <c r="AG143" s="159" t="s">
        <v>62</v>
      </c>
      <c r="AH143" s="159" t="s">
        <v>63</v>
      </c>
      <c r="AI143" s="159" t="s">
        <v>64</v>
      </c>
      <c r="AJ143" s="159" t="s">
        <v>64</v>
      </c>
      <c r="AK143" s="197" t="s">
        <v>64</v>
      </c>
    </row>
    <row r="144" spans="1:41" ht="84.75" customHeight="1" thickBot="1" x14ac:dyDescent="0.25">
      <c r="A144" s="1"/>
      <c r="B144" s="196" t="s">
        <v>42</v>
      </c>
      <c r="C144" s="143">
        <v>1320</v>
      </c>
      <c r="D144" s="143" t="s">
        <v>150</v>
      </c>
      <c r="E144" s="143" t="s">
        <v>44</v>
      </c>
      <c r="F144" s="175" t="s">
        <v>437</v>
      </c>
      <c r="G144" s="175" t="s">
        <v>438</v>
      </c>
      <c r="H144" s="175" t="s">
        <v>438</v>
      </c>
      <c r="I144" s="176">
        <v>21840000</v>
      </c>
      <c r="J144" s="177" t="s">
        <v>48</v>
      </c>
      <c r="K144" s="177" t="s">
        <v>48</v>
      </c>
      <c r="L144" s="178" t="s">
        <v>143</v>
      </c>
      <c r="M144" s="143" t="s">
        <v>50</v>
      </c>
      <c r="N144" s="145" t="str">
        <f t="shared" si="9"/>
        <v>Conciliaciones</v>
      </c>
      <c r="O144" s="146">
        <v>1</v>
      </c>
      <c r="P144" s="146">
        <v>1</v>
      </c>
      <c r="Q144" s="147">
        <v>11</v>
      </c>
      <c r="R144" s="148" t="s">
        <v>51</v>
      </c>
      <c r="S144" s="149" t="s">
        <v>439</v>
      </c>
      <c r="T144" s="150" t="s">
        <v>53</v>
      </c>
      <c r="U144" s="151">
        <f t="shared" si="7"/>
        <v>21840000</v>
      </c>
      <c r="V144" s="152">
        <f t="shared" si="8"/>
        <v>21840000</v>
      </c>
      <c r="W144" s="153" t="s">
        <v>54</v>
      </c>
      <c r="X144" s="153" t="s">
        <v>55</v>
      </c>
      <c r="Y144" s="154" t="s">
        <v>56</v>
      </c>
      <c r="Z144" s="155" t="s">
        <v>57</v>
      </c>
      <c r="AA144" s="156" t="s">
        <v>42</v>
      </c>
      <c r="AB144" s="157" t="s">
        <v>58</v>
      </c>
      <c r="AC144" s="158" t="s">
        <v>59</v>
      </c>
      <c r="AD144" s="153" t="s">
        <v>54</v>
      </c>
      <c r="AE144" s="153" t="s">
        <v>60</v>
      </c>
      <c r="AF144" s="159" t="s">
        <v>61</v>
      </c>
      <c r="AG144" s="159" t="s">
        <v>62</v>
      </c>
      <c r="AH144" s="159" t="s">
        <v>63</v>
      </c>
      <c r="AI144" s="159" t="s">
        <v>64</v>
      </c>
      <c r="AJ144" s="159" t="s">
        <v>64</v>
      </c>
      <c r="AK144" s="197" t="s">
        <v>64</v>
      </c>
    </row>
    <row r="145" spans="1:37" ht="84.75" customHeight="1" thickBot="1" x14ac:dyDescent="0.25">
      <c r="A145" s="1"/>
      <c r="B145" s="196" t="s">
        <v>42</v>
      </c>
      <c r="C145" s="143">
        <v>1320</v>
      </c>
      <c r="D145" s="143" t="s">
        <v>150</v>
      </c>
      <c r="E145" s="143" t="s">
        <v>44</v>
      </c>
      <c r="F145" s="175" t="s">
        <v>440</v>
      </c>
      <c r="G145" s="175" t="s">
        <v>441</v>
      </c>
      <c r="H145" s="175" t="s">
        <v>442</v>
      </c>
      <c r="I145" s="176">
        <v>20000000</v>
      </c>
      <c r="J145" s="177" t="s">
        <v>48</v>
      </c>
      <c r="K145" s="177" t="s">
        <v>48</v>
      </c>
      <c r="L145" s="178" t="s">
        <v>443</v>
      </c>
      <c r="M145" s="143" t="s">
        <v>50</v>
      </c>
      <c r="N145" s="145" t="str">
        <f t="shared" si="9"/>
        <v>Pago de impuesto sobre vehículos automotores de propiedad de la Universidad Pedagógica Nacional correspondientes a la vigencia 2024</v>
      </c>
      <c r="O145" s="146">
        <v>1</v>
      </c>
      <c r="P145" s="146">
        <v>1</v>
      </c>
      <c r="Q145" s="147">
        <v>11</v>
      </c>
      <c r="R145" s="148" t="s">
        <v>51</v>
      </c>
      <c r="S145" s="149" t="s">
        <v>444</v>
      </c>
      <c r="T145" s="150" t="s">
        <v>145</v>
      </c>
      <c r="U145" s="151">
        <f t="shared" si="7"/>
        <v>20000000</v>
      </c>
      <c r="V145" s="152">
        <f t="shared" si="8"/>
        <v>20000000</v>
      </c>
      <c r="W145" s="153" t="s">
        <v>54</v>
      </c>
      <c r="X145" s="153" t="s">
        <v>55</v>
      </c>
      <c r="Y145" s="154" t="s">
        <v>56</v>
      </c>
      <c r="Z145" s="155" t="s">
        <v>57</v>
      </c>
      <c r="AA145" s="156" t="s">
        <v>42</v>
      </c>
      <c r="AB145" s="157" t="s">
        <v>58</v>
      </c>
      <c r="AC145" s="158" t="s">
        <v>59</v>
      </c>
      <c r="AD145" s="153" t="s">
        <v>54</v>
      </c>
      <c r="AE145" s="153" t="s">
        <v>60</v>
      </c>
      <c r="AF145" s="159" t="s">
        <v>61</v>
      </c>
      <c r="AG145" s="159" t="s">
        <v>62</v>
      </c>
      <c r="AH145" s="159" t="s">
        <v>63</v>
      </c>
      <c r="AI145" s="159" t="s">
        <v>64</v>
      </c>
      <c r="AJ145" s="159" t="s">
        <v>64</v>
      </c>
      <c r="AK145" s="197" t="s">
        <v>64</v>
      </c>
    </row>
    <row r="146" spans="1:37" ht="84.75" customHeight="1" thickBot="1" x14ac:dyDescent="0.25">
      <c r="A146" s="1"/>
      <c r="B146" s="196" t="s">
        <v>42</v>
      </c>
      <c r="C146" s="143">
        <v>1320</v>
      </c>
      <c r="D146" s="143" t="s">
        <v>150</v>
      </c>
      <c r="E146" s="143" t="s">
        <v>44</v>
      </c>
      <c r="F146" s="175" t="s">
        <v>445</v>
      </c>
      <c r="G146" s="175" t="s">
        <v>446</v>
      </c>
      <c r="H146" s="175" t="s">
        <v>447</v>
      </c>
      <c r="I146" s="176">
        <f>1035600000- 97767878</f>
        <v>937832122</v>
      </c>
      <c r="J146" s="177" t="s">
        <v>48</v>
      </c>
      <c r="K146" s="177" t="s">
        <v>48</v>
      </c>
      <c r="L146" s="178" t="s">
        <v>448</v>
      </c>
      <c r="M146" s="143" t="s">
        <v>50</v>
      </c>
      <c r="N146" s="145" t="str">
        <f t="shared" si="9"/>
        <v>Pago de los impuestos prediales de la vigencia 2024 de los predios ubicados de la UPN</v>
      </c>
      <c r="O146" s="146">
        <v>1</v>
      </c>
      <c r="P146" s="146">
        <v>1</v>
      </c>
      <c r="Q146" s="147">
        <v>11</v>
      </c>
      <c r="R146" s="148" t="s">
        <v>51</v>
      </c>
      <c r="S146" s="149" t="s">
        <v>449</v>
      </c>
      <c r="T146" s="150" t="s">
        <v>145</v>
      </c>
      <c r="U146" s="151">
        <f t="shared" si="7"/>
        <v>937832122</v>
      </c>
      <c r="V146" s="152">
        <f t="shared" si="8"/>
        <v>937832122</v>
      </c>
      <c r="W146" s="153" t="s">
        <v>54</v>
      </c>
      <c r="X146" s="153" t="s">
        <v>55</v>
      </c>
      <c r="Y146" s="154" t="s">
        <v>56</v>
      </c>
      <c r="Z146" s="155" t="s">
        <v>57</v>
      </c>
      <c r="AA146" s="156" t="s">
        <v>42</v>
      </c>
      <c r="AB146" s="157" t="s">
        <v>58</v>
      </c>
      <c r="AC146" s="158" t="s">
        <v>59</v>
      </c>
      <c r="AD146" s="153" t="s">
        <v>54</v>
      </c>
      <c r="AE146" s="153" t="s">
        <v>60</v>
      </c>
      <c r="AF146" s="159" t="s">
        <v>61</v>
      </c>
      <c r="AG146" s="159" t="s">
        <v>62</v>
      </c>
      <c r="AH146" s="159" t="s">
        <v>63</v>
      </c>
      <c r="AI146" s="159" t="s">
        <v>64</v>
      </c>
      <c r="AJ146" s="159" t="s">
        <v>64</v>
      </c>
      <c r="AK146" s="197" t="s">
        <v>64</v>
      </c>
    </row>
    <row r="147" spans="1:37" ht="84.75" customHeight="1" thickBot="1" x14ac:dyDescent="0.25">
      <c r="A147" s="1"/>
      <c r="B147" s="196" t="s">
        <v>42</v>
      </c>
      <c r="C147" s="143">
        <v>1320</v>
      </c>
      <c r="D147" s="143" t="s">
        <v>150</v>
      </c>
      <c r="E147" s="143" t="s">
        <v>236</v>
      </c>
      <c r="F147" s="175" t="s">
        <v>450</v>
      </c>
      <c r="G147" s="175" t="s">
        <v>451</v>
      </c>
      <c r="H147" s="175" t="s">
        <v>452</v>
      </c>
      <c r="I147" s="176">
        <v>16000000</v>
      </c>
      <c r="J147" s="177" t="s">
        <v>48</v>
      </c>
      <c r="K147" s="177" t="s">
        <v>48</v>
      </c>
      <c r="L147" s="178" t="s">
        <v>453</v>
      </c>
      <c r="M147" s="143" t="s">
        <v>50</v>
      </c>
      <c r="N147" s="145" t="str">
        <f t="shared" si="9"/>
        <v>Amparar el pago del impuesto de Industria y Comercio (ICA) de la Universidad Pedagógica Nacional.</v>
      </c>
      <c r="O147" s="146">
        <v>1</v>
      </c>
      <c r="P147" s="146">
        <v>1</v>
      </c>
      <c r="Q147" s="147">
        <v>11</v>
      </c>
      <c r="R147" s="148" t="s">
        <v>51</v>
      </c>
      <c r="S147" s="149" t="s">
        <v>454</v>
      </c>
      <c r="T147" s="150" t="s">
        <v>145</v>
      </c>
      <c r="U147" s="151">
        <f t="shared" si="7"/>
        <v>16000000</v>
      </c>
      <c r="V147" s="152">
        <f t="shared" si="8"/>
        <v>16000000</v>
      </c>
      <c r="W147" s="153" t="s">
        <v>54</v>
      </c>
      <c r="X147" s="153" t="s">
        <v>55</v>
      </c>
      <c r="Y147" s="154" t="s">
        <v>56</v>
      </c>
      <c r="Z147" s="155" t="s">
        <v>57</v>
      </c>
      <c r="AA147" s="156" t="s">
        <v>42</v>
      </c>
      <c r="AB147" s="157" t="s">
        <v>58</v>
      </c>
      <c r="AC147" s="158" t="s">
        <v>59</v>
      </c>
      <c r="AD147" s="153" t="s">
        <v>54</v>
      </c>
      <c r="AE147" s="153" t="s">
        <v>60</v>
      </c>
      <c r="AF147" s="159" t="s">
        <v>61</v>
      </c>
      <c r="AG147" s="159" t="s">
        <v>62</v>
      </c>
      <c r="AH147" s="159" t="s">
        <v>63</v>
      </c>
      <c r="AI147" s="159" t="s">
        <v>64</v>
      </c>
      <c r="AJ147" s="159" t="s">
        <v>64</v>
      </c>
      <c r="AK147" s="197" t="s">
        <v>64</v>
      </c>
    </row>
    <row r="148" spans="1:37" ht="84.75" customHeight="1" thickBot="1" x14ac:dyDescent="0.25">
      <c r="A148" s="1"/>
      <c r="B148" s="196" t="s">
        <v>42</v>
      </c>
      <c r="C148" s="143">
        <v>1320</v>
      </c>
      <c r="D148" s="143" t="s">
        <v>150</v>
      </c>
      <c r="E148" s="143" t="s">
        <v>236</v>
      </c>
      <c r="F148" s="175" t="s">
        <v>455</v>
      </c>
      <c r="G148" s="175" t="s">
        <v>456</v>
      </c>
      <c r="H148" s="175" t="s">
        <v>457</v>
      </c>
      <c r="I148" s="176">
        <f>370000000+97767878</f>
        <v>467767878</v>
      </c>
      <c r="J148" s="177" t="s">
        <v>48</v>
      </c>
      <c r="K148" s="177" t="s">
        <v>48</v>
      </c>
      <c r="L148" s="178" t="s">
        <v>143</v>
      </c>
      <c r="M148" s="143" t="s">
        <v>50</v>
      </c>
      <c r="N148" s="145" t="str">
        <f t="shared" si="9"/>
        <v>Pago de la cuota de fiscalización y auditaje</v>
      </c>
      <c r="O148" s="146">
        <v>1</v>
      </c>
      <c r="P148" s="146">
        <v>1</v>
      </c>
      <c r="Q148" s="147">
        <v>11</v>
      </c>
      <c r="R148" s="148" t="s">
        <v>51</v>
      </c>
      <c r="S148" s="149" t="s">
        <v>458</v>
      </c>
      <c r="T148" s="150" t="s">
        <v>145</v>
      </c>
      <c r="U148" s="151">
        <f t="shared" ref="U148:U213" si="12">+I148</f>
        <v>467767878</v>
      </c>
      <c r="V148" s="152">
        <f t="shared" ref="V148:V213" si="13">+U148</f>
        <v>467767878</v>
      </c>
      <c r="W148" s="153" t="s">
        <v>54</v>
      </c>
      <c r="X148" s="153" t="s">
        <v>55</v>
      </c>
      <c r="Y148" s="154" t="s">
        <v>56</v>
      </c>
      <c r="Z148" s="155" t="s">
        <v>57</v>
      </c>
      <c r="AA148" s="156" t="s">
        <v>42</v>
      </c>
      <c r="AB148" s="157" t="s">
        <v>58</v>
      </c>
      <c r="AC148" s="158" t="s">
        <v>59</v>
      </c>
      <c r="AD148" s="153" t="s">
        <v>54</v>
      </c>
      <c r="AE148" s="153" t="s">
        <v>60</v>
      </c>
      <c r="AF148" s="159" t="s">
        <v>61</v>
      </c>
      <c r="AG148" s="159" t="s">
        <v>62</v>
      </c>
      <c r="AH148" s="159" t="s">
        <v>63</v>
      </c>
      <c r="AI148" s="159" t="s">
        <v>64</v>
      </c>
      <c r="AJ148" s="159" t="s">
        <v>64</v>
      </c>
      <c r="AK148" s="197" t="s">
        <v>64</v>
      </c>
    </row>
    <row r="149" spans="1:37" ht="84.75" customHeight="1" thickBot="1" x14ac:dyDescent="0.25">
      <c r="A149" s="1"/>
      <c r="B149" s="196" t="s">
        <v>42</v>
      </c>
      <c r="C149" s="143">
        <v>1320</v>
      </c>
      <c r="D149" s="143" t="s">
        <v>150</v>
      </c>
      <c r="E149" s="143" t="s">
        <v>44</v>
      </c>
      <c r="F149" s="175" t="s">
        <v>459</v>
      </c>
      <c r="G149" s="175" t="s">
        <v>460</v>
      </c>
      <c r="H149" s="175" t="s">
        <v>460</v>
      </c>
      <c r="I149" s="176">
        <v>188835799</v>
      </c>
      <c r="J149" s="177" t="s">
        <v>48</v>
      </c>
      <c r="K149" s="177" t="s">
        <v>48</v>
      </c>
      <c r="L149" s="178" t="s">
        <v>143</v>
      </c>
      <c r="M149" s="143" t="s">
        <v>50</v>
      </c>
      <c r="N149" s="145" t="str">
        <f t="shared" si="9"/>
        <v>Gravamen a los movimientos financieros</v>
      </c>
      <c r="O149" s="146">
        <v>1</v>
      </c>
      <c r="P149" s="146">
        <v>1</v>
      </c>
      <c r="Q149" s="147">
        <v>11</v>
      </c>
      <c r="R149" s="148" t="s">
        <v>51</v>
      </c>
      <c r="S149" s="149" t="s">
        <v>461</v>
      </c>
      <c r="T149" s="150" t="s">
        <v>53</v>
      </c>
      <c r="U149" s="151">
        <f t="shared" si="12"/>
        <v>188835799</v>
      </c>
      <c r="V149" s="152">
        <f t="shared" si="13"/>
        <v>188835799</v>
      </c>
      <c r="W149" s="153" t="s">
        <v>54</v>
      </c>
      <c r="X149" s="153" t="s">
        <v>55</v>
      </c>
      <c r="Y149" s="154" t="s">
        <v>56</v>
      </c>
      <c r="Z149" s="155" t="s">
        <v>57</v>
      </c>
      <c r="AA149" s="156" t="s">
        <v>42</v>
      </c>
      <c r="AB149" s="157" t="s">
        <v>58</v>
      </c>
      <c r="AC149" s="158" t="s">
        <v>59</v>
      </c>
      <c r="AD149" s="153" t="s">
        <v>54</v>
      </c>
      <c r="AE149" s="153" t="s">
        <v>60</v>
      </c>
      <c r="AF149" s="159" t="s">
        <v>61</v>
      </c>
      <c r="AG149" s="159" t="s">
        <v>62</v>
      </c>
      <c r="AH149" s="159" t="s">
        <v>63</v>
      </c>
      <c r="AI149" s="159" t="s">
        <v>64</v>
      </c>
      <c r="AJ149" s="159" t="s">
        <v>64</v>
      </c>
      <c r="AK149" s="197" t="s">
        <v>64</v>
      </c>
    </row>
    <row r="150" spans="1:37" ht="84.75" customHeight="1" thickBot="1" x14ac:dyDescent="0.25">
      <c r="A150" s="1"/>
      <c r="B150" s="196" t="s">
        <v>42</v>
      </c>
      <c r="C150" s="143">
        <v>1320</v>
      </c>
      <c r="D150" s="143" t="s">
        <v>150</v>
      </c>
      <c r="E150" s="143" t="s">
        <v>44</v>
      </c>
      <c r="F150" s="175" t="s">
        <v>459</v>
      </c>
      <c r="G150" s="175" t="s">
        <v>460</v>
      </c>
      <c r="H150" s="175" t="s">
        <v>460</v>
      </c>
      <c r="I150" s="176">
        <v>2400000</v>
      </c>
      <c r="J150" s="177" t="s">
        <v>48</v>
      </c>
      <c r="K150" s="177" t="s">
        <v>48</v>
      </c>
      <c r="L150" s="178" t="s">
        <v>143</v>
      </c>
      <c r="M150" s="143" t="s">
        <v>50</v>
      </c>
      <c r="N150" s="145" t="str">
        <f t="shared" si="9"/>
        <v>Gravamen a los movimientos financieros</v>
      </c>
      <c r="O150" s="146">
        <v>1</v>
      </c>
      <c r="P150" s="146">
        <v>1</v>
      </c>
      <c r="Q150" s="147">
        <v>11</v>
      </c>
      <c r="R150" s="148" t="s">
        <v>51</v>
      </c>
      <c r="S150" s="149" t="s">
        <v>461</v>
      </c>
      <c r="T150" s="150" t="s">
        <v>462</v>
      </c>
      <c r="U150" s="151">
        <f t="shared" si="12"/>
        <v>2400000</v>
      </c>
      <c r="V150" s="152">
        <f t="shared" si="13"/>
        <v>2400000</v>
      </c>
      <c r="W150" s="153" t="s">
        <v>54</v>
      </c>
      <c r="X150" s="153" t="s">
        <v>55</v>
      </c>
      <c r="Y150" s="154" t="s">
        <v>56</v>
      </c>
      <c r="Z150" s="155" t="s">
        <v>57</v>
      </c>
      <c r="AA150" s="156" t="s">
        <v>42</v>
      </c>
      <c r="AB150" s="157" t="s">
        <v>58</v>
      </c>
      <c r="AC150" s="158" t="s">
        <v>59</v>
      </c>
      <c r="AD150" s="153" t="s">
        <v>54</v>
      </c>
      <c r="AE150" s="153" t="s">
        <v>60</v>
      </c>
      <c r="AF150" s="159" t="s">
        <v>61</v>
      </c>
      <c r="AG150" s="159" t="s">
        <v>62</v>
      </c>
      <c r="AH150" s="159" t="s">
        <v>63</v>
      </c>
      <c r="AI150" s="159" t="s">
        <v>64</v>
      </c>
      <c r="AJ150" s="159" t="s">
        <v>64</v>
      </c>
      <c r="AK150" s="197" t="s">
        <v>64</v>
      </c>
    </row>
    <row r="151" spans="1:37" ht="84.75" customHeight="1" thickBot="1" x14ac:dyDescent="0.25">
      <c r="A151" s="1"/>
      <c r="B151" s="196" t="s">
        <v>42</v>
      </c>
      <c r="C151" s="143">
        <v>1320</v>
      </c>
      <c r="D151" s="143" t="s">
        <v>150</v>
      </c>
      <c r="E151" s="143" t="s">
        <v>44</v>
      </c>
      <c r="F151" s="175" t="s">
        <v>459</v>
      </c>
      <c r="G151" s="175" t="s">
        <v>460</v>
      </c>
      <c r="H151" s="175" t="s">
        <v>460</v>
      </c>
      <c r="I151" s="176">
        <v>15664957</v>
      </c>
      <c r="J151" s="177" t="s">
        <v>48</v>
      </c>
      <c r="K151" s="177" t="s">
        <v>48</v>
      </c>
      <c r="L151" s="178" t="s">
        <v>143</v>
      </c>
      <c r="M151" s="143" t="s">
        <v>50</v>
      </c>
      <c r="N151" s="145" t="str">
        <f t="shared" si="9"/>
        <v>Gravamen a los movimientos financieros</v>
      </c>
      <c r="O151" s="146">
        <v>1</v>
      </c>
      <c r="P151" s="146">
        <v>1</v>
      </c>
      <c r="Q151" s="147">
        <v>11</v>
      </c>
      <c r="R151" s="148" t="s">
        <v>51</v>
      </c>
      <c r="S151" s="149" t="s">
        <v>461</v>
      </c>
      <c r="T151" s="150" t="s">
        <v>463</v>
      </c>
      <c r="U151" s="151">
        <f t="shared" si="12"/>
        <v>15664957</v>
      </c>
      <c r="V151" s="152">
        <f t="shared" si="13"/>
        <v>15664957</v>
      </c>
      <c r="W151" s="153" t="s">
        <v>54</v>
      </c>
      <c r="X151" s="153" t="s">
        <v>55</v>
      </c>
      <c r="Y151" s="154" t="s">
        <v>56</v>
      </c>
      <c r="Z151" s="155" t="s">
        <v>57</v>
      </c>
      <c r="AA151" s="156" t="s">
        <v>42</v>
      </c>
      <c r="AB151" s="157" t="s">
        <v>58</v>
      </c>
      <c r="AC151" s="158" t="s">
        <v>59</v>
      </c>
      <c r="AD151" s="153" t="s">
        <v>54</v>
      </c>
      <c r="AE151" s="153" t="s">
        <v>60</v>
      </c>
      <c r="AF151" s="159" t="s">
        <v>61</v>
      </c>
      <c r="AG151" s="159" t="s">
        <v>62</v>
      </c>
      <c r="AH151" s="159" t="s">
        <v>63</v>
      </c>
      <c r="AI151" s="159" t="s">
        <v>64</v>
      </c>
      <c r="AJ151" s="159" t="s">
        <v>64</v>
      </c>
      <c r="AK151" s="197" t="s">
        <v>64</v>
      </c>
    </row>
    <row r="152" spans="1:37" ht="84.75" customHeight="1" thickBot="1" x14ac:dyDescent="0.25">
      <c r="A152" s="1"/>
      <c r="B152" s="196" t="s">
        <v>42</v>
      </c>
      <c r="C152" s="143">
        <v>1320</v>
      </c>
      <c r="D152" s="143" t="s">
        <v>150</v>
      </c>
      <c r="E152" s="143" t="s">
        <v>44</v>
      </c>
      <c r="F152" s="175" t="s">
        <v>459</v>
      </c>
      <c r="G152" s="175" t="s">
        <v>460</v>
      </c>
      <c r="H152" s="175" t="s">
        <v>460</v>
      </c>
      <c r="I152" s="176">
        <v>4400000</v>
      </c>
      <c r="J152" s="177" t="s">
        <v>48</v>
      </c>
      <c r="K152" s="177" t="s">
        <v>48</v>
      </c>
      <c r="L152" s="178" t="s">
        <v>143</v>
      </c>
      <c r="M152" s="143" t="s">
        <v>50</v>
      </c>
      <c r="N152" s="145" t="str">
        <f t="shared" ref="N152" si="14">H152</f>
        <v>Gravamen a los movimientos financieros</v>
      </c>
      <c r="O152" s="146">
        <v>1</v>
      </c>
      <c r="P152" s="146">
        <v>1</v>
      </c>
      <c r="Q152" s="147">
        <v>11</v>
      </c>
      <c r="R152" s="148" t="s">
        <v>51</v>
      </c>
      <c r="S152" s="149" t="s">
        <v>461</v>
      </c>
      <c r="T152" s="147">
        <v>17</v>
      </c>
      <c r="U152" s="151">
        <f t="shared" ref="U152" si="15">+I152</f>
        <v>4400000</v>
      </c>
      <c r="V152" s="152">
        <f t="shared" ref="V152" si="16">+U152</f>
        <v>4400000</v>
      </c>
      <c r="W152" s="153" t="s">
        <v>54</v>
      </c>
      <c r="X152" s="153" t="s">
        <v>55</v>
      </c>
      <c r="Y152" s="154" t="s">
        <v>56</v>
      </c>
      <c r="Z152" s="155" t="s">
        <v>57</v>
      </c>
      <c r="AA152" s="156" t="s">
        <v>42</v>
      </c>
      <c r="AB152" s="157" t="s">
        <v>58</v>
      </c>
      <c r="AC152" s="158" t="s">
        <v>59</v>
      </c>
      <c r="AD152" s="153" t="s">
        <v>54</v>
      </c>
      <c r="AE152" s="153" t="s">
        <v>60</v>
      </c>
      <c r="AF152" s="159" t="s">
        <v>61</v>
      </c>
      <c r="AG152" s="159" t="s">
        <v>62</v>
      </c>
      <c r="AH152" s="159" t="s">
        <v>63</v>
      </c>
      <c r="AI152" s="159" t="s">
        <v>64</v>
      </c>
      <c r="AJ152" s="159" t="s">
        <v>64</v>
      </c>
      <c r="AK152" s="197" t="s">
        <v>64</v>
      </c>
    </row>
    <row r="153" spans="1:37" ht="84.75" customHeight="1" thickBot="1" x14ac:dyDescent="0.25">
      <c r="A153" s="1"/>
      <c r="B153" s="196" t="s">
        <v>42</v>
      </c>
      <c r="C153" s="143">
        <v>1320</v>
      </c>
      <c r="D153" s="143" t="s">
        <v>150</v>
      </c>
      <c r="E153" s="143" t="s">
        <v>44</v>
      </c>
      <c r="F153" s="175" t="s">
        <v>459</v>
      </c>
      <c r="G153" s="175" t="s">
        <v>460</v>
      </c>
      <c r="H153" s="175" t="s">
        <v>460</v>
      </c>
      <c r="I153" s="176">
        <v>1568718</v>
      </c>
      <c r="J153" s="177" t="s">
        <v>48</v>
      </c>
      <c r="K153" s="177" t="s">
        <v>48</v>
      </c>
      <c r="L153" s="178" t="s">
        <v>143</v>
      </c>
      <c r="M153" s="143" t="s">
        <v>50</v>
      </c>
      <c r="N153" s="145" t="str">
        <f t="shared" ref="N153:N154" si="17">H153</f>
        <v>Gravamen a los movimientos financieros</v>
      </c>
      <c r="O153" s="146">
        <v>1</v>
      </c>
      <c r="P153" s="146">
        <v>1</v>
      </c>
      <c r="Q153" s="147">
        <v>11</v>
      </c>
      <c r="R153" s="148" t="s">
        <v>51</v>
      </c>
      <c r="S153" s="149" t="s">
        <v>461</v>
      </c>
      <c r="T153" s="150" t="s">
        <v>1147</v>
      </c>
      <c r="U153" s="151">
        <f t="shared" si="12"/>
        <v>1568718</v>
      </c>
      <c r="V153" s="152">
        <f t="shared" ref="V153:V154" si="18">+U153</f>
        <v>1568718</v>
      </c>
      <c r="W153" s="153" t="s">
        <v>54</v>
      </c>
      <c r="X153" s="153" t="s">
        <v>55</v>
      </c>
      <c r="Y153" s="154" t="s">
        <v>56</v>
      </c>
      <c r="Z153" s="155" t="s">
        <v>57</v>
      </c>
      <c r="AA153" s="156" t="s">
        <v>42</v>
      </c>
      <c r="AB153" s="157" t="s">
        <v>58</v>
      </c>
      <c r="AC153" s="158" t="s">
        <v>59</v>
      </c>
      <c r="AD153" s="153" t="s">
        <v>54</v>
      </c>
      <c r="AE153" s="153" t="s">
        <v>60</v>
      </c>
      <c r="AF153" s="159" t="s">
        <v>61</v>
      </c>
      <c r="AG153" s="159" t="s">
        <v>62</v>
      </c>
      <c r="AH153" s="159" t="s">
        <v>63</v>
      </c>
      <c r="AI153" s="159" t="s">
        <v>64</v>
      </c>
      <c r="AJ153" s="159" t="s">
        <v>64</v>
      </c>
      <c r="AK153" s="197" t="s">
        <v>64</v>
      </c>
    </row>
    <row r="154" spans="1:37" ht="84.75" customHeight="1" thickBot="1" x14ac:dyDescent="0.25">
      <c r="A154" s="1"/>
      <c r="B154" s="196" t="s">
        <v>42</v>
      </c>
      <c r="C154" s="143">
        <v>1320</v>
      </c>
      <c r="D154" s="143" t="s">
        <v>150</v>
      </c>
      <c r="E154" s="143" t="s">
        <v>44</v>
      </c>
      <c r="F154" s="175" t="s">
        <v>459</v>
      </c>
      <c r="G154" s="175" t="s">
        <v>460</v>
      </c>
      <c r="H154" s="175" t="s">
        <v>460</v>
      </c>
      <c r="I154" s="176">
        <v>1996234</v>
      </c>
      <c r="J154" s="177" t="s">
        <v>48</v>
      </c>
      <c r="K154" s="177" t="s">
        <v>48</v>
      </c>
      <c r="L154" s="178" t="s">
        <v>143</v>
      </c>
      <c r="M154" s="143" t="s">
        <v>50</v>
      </c>
      <c r="N154" s="145" t="str">
        <f t="shared" si="17"/>
        <v>Gravamen a los movimientos financieros</v>
      </c>
      <c r="O154" s="146">
        <v>1</v>
      </c>
      <c r="P154" s="146">
        <v>1</v>
      </c>
      <c r="Q154" s="147">
        <v>11</v>
      </c>
      <c r="R154" s="148" t="s">
        <v>51</v>
      </c>
      <c r="S154" s="149" t="s">
        <v>461</v>
      </c>
      <c r="T154" s="150" t="s">
        <v>1148</v>
      </c>
      <c r="U154" s="151">
        <f t="shared" si="12"/>
        <v>1996234</v>
      </c>
      <c r="V154" s="152">
        <f t="shared" si="18"/>
        <v>1996234</v>
      </c>
      <c r="W154" s="153" t="s">
        <v>54</v>
      </c>
      <c r="X154" s="153" t="s">
        <v>55</v>
      </c>
      <c r="Y154" s="154" t="s">
        <v>56</v>
      </c>
      <c r="Z154" s="155" t="s">
        <v>57</v>
      </c>
      <c r="AA154" s="156" t="s">
        <v>42</v>
      </c>
      <c r="AB154" s="157" t="s">
        <v>58</v>
      </c>
      <c r="AC154" s="158" t="s">
        <v>59</v>
      </c>
      <c r="AD154" s="153" t="s">
        <v>54</v>
      </c>
      <c r="AE154" s="153" t="s">
        <v>60</v>
      </c>
      <c r="AF154" s="159" t="s">
        <v>61</v>
      </c>
      <c r="AG154" s="159" t="s">
        <v>62</v>
      </c>
      <c r="AH154" s="159" t="s">
        <v>63</v>
      </c>
      <c r="AI154" s="159" t="s">
        <v>64</v>
      </c>
      <c r="AJ154" s="159" t="s">
        <v>64</v>
      </c>
      <c r="AK154" s="197" t="s">
        <v>64</v>
      </c>
    </row>
    <row r="155" spans="1:37" ht="84.75" customHeight="1" thickBot="1" x14ac:dyDescent="0.25">
      <c r="A155" s="1"/>
      <c r="B155" s="196" t="s">
        <v>42</v>
      </c>
      <c r="C155" s="143">
        <v>1320</v>
      </c>
      <c r="D155" s="143" t="s">
        <v>150</v>
      </c>
      <c r="E155" s="143" t="s">
        <v>44</v>
      </c>
      <c r="F155" s="175" t="s">
        <v>459</v>
      </c>
      <c r="G155" s="175" t="s">
        <v>460</v>
      </c>
      <c r="H155" s="175" t="s">
        <v>460</v>
      </c>
      <c r="I155" s="176">
        <v>4322282</v>
      </c>
      <c r="J155" s="177" t="s">
        <v>48</v>
      </c>
      <c r="K155" s="177" t="s">
        <v>48</v>
      </c>
      <c r="L155" s="178" t="s">
        <v>143</v>
      </c>
      <c r="M155" s="143" t="s">
        <v>50</v>
      </c>
      <c r="N155" s="145" t="str">
        <f t="shared" si="9"/>
        <v>Gravamen a los movimientos financieros</v>
      </c>
      <c r="O155" s="146">
        <v>1</v>
      </c>
      <c r="P155" s="146">
        <v>1</v>
      </c>
      <c r="Q155" s="147">
        <v>11</v>
      </c>
      <c r="R155" s="148" t="s">
        <v>51</v>
      </c>
      <c r="S155" s="149" t="s">
        <v>461</v>
      </c>
      <c r="T155" s="150" t="s">
        <v>464</v>
      </c>
      <c r="U155" s="151">
        <f t="shared" si="12"/>
        <v>4322282</v>
      </c>
      <c r="V155" s="152">
        <f t="shared" si="13"/>
        <v>4322282</v>
      </c>
      <c r="W155" s="153" t="s">
        <v>54</v>
      </c>
      <c r="X155" s="153" t="s">
        <v>55</v>
      </c>
      <c r="Y155" s="154" t="s">
        <v>56</v>
      </c>
      <c r="Z155" s="155" t="s">
        <v>57</v>
      </c>
      <c r="AA155" s="156" t="s">
        <v>42</v>
      </c>
      <c r="AB155" s="157" t="s">
        <v>58</v>
      </c>
      <c r="AC155" s="158" t="s">
        <v>59</v>
      </c>
      <c r="AD155" s="153" t="s">
        <v>54</v>
      </c>
      <c r="AE155" s="153" t="s">
        <v>60</v>
      </c>
      <c r="AF155" s="159" t="s">
        <v>61</v>
      </c>
      <c r="AG155" s="159" t="s">
        <v>62</v>
      </c>
      <c r="AH155" s="159" t="s">
        <v>63</v>
      </c>
      <c r="AI155" s="159" t="s">
        <v>64</v>
      </c>
      <c r="AJ155" s="159" t="s">
        <v>64</v>
      </c>
      <c r="AK155" s="197" t="s">
        <v>64</v>
      </c>
    </row>
    <row r="156" spans="1:37" ht="84.75" customHeight="1" thickBot="1" x14ac:dyDescent="0.25">
      <c r="A156" s="1"/>
      <c r="B156" s="196" t="s">
        <v>42</v>
      </c>
      <c r="C156" s="143">
        <v>1320</v>
      </c>
      <c r="D156" s="143" t="s">
        <v>150</v>
      </c>
      <c r="E156" s="143" t="s">
        <v>44</v>
      </c>
      <c r="F156" s="175" t="s">
        <v>459</v>
      </c>
      <c r="G156" s="175" t="s">
        <v>460</v>
      </c>
      <c r="H156" s="175" t="s">
        <v>460</v>
      </c>
      <c r="I156" s="176">
        <v>52159181</v>
      </c>
      <c r="J156" s="177" t="s">
        <v>48</v>
      </c>
      <c r="K156" s="177" t="s">
        <v>48</v>
      </c>
      <c r="L156" s="178" t="s">
        <v>143</v>
      </c>
      <c r="M156" s="143" t="s">
        <v>50</v>
      </c>
      <c r="N156" s="145" t="str">
        <f t="shared" si="9"/>
        <v>Gravamen a los movimientos financieros</v>
      </c>
      <c r="O156" s="146">
        <v>1</v>
      </c>
      <c r="P156" s="146">
        <v>1</v>
      </c>
      <c r="Q156" s="147">
        <v>11</v>
      </c>
      <c r="R156" s="148" t="s">
        <v>51</v>
      </c>
      <c r="S156" s="149" t="s">
        <v>461</v>
      </c>
      <c r="T156" s="150" t="s">
        <v>282</v>
      </c>
      <c r="U156" s="151">
        <f t="shared" si="12"/>
        <v>52159181</v>
      </c>
      <c r="V156" s="152">
        <f t="shared" si="13"/>
        <v>52159181</v>
      </c>
      <c r="W156" s="153" t="s">
        <v>54</v>
      </c>
      <c r="X156" s="153" t="s">
        <v>55</v>
      </c>
      <c r="Y156" s="154" t="s">
        <v>56</v>
      </c>
      <c r="Z156" s="155" t="s">
        <v>57</v>
      </c>
      <c r="AA156" s="156" t="s">
        <v>42</v>
      </c>
      <c r="AB156" s="157" t="s">
        <v>58</v>
      </c>
      <c r="AC156" s="158" t="s">
        <v>59</v>
      </c>
      <c r="AD156" s="153" t="s">
        <v>54</v>
      </c>
      <c r="AE156" s="153" t="s">
        <v>60</v>
      </c>
      <c r="AF156" s="159" t="s">
        <v>61</v>
      </c>
      <c r="AG156" s="159" t="s">
        <v>62</v>
      </c>
      <c r="AH156" s="159" t="s">
        <v>63</v>
      </c>
      <c r="AI156" s="159" t="s">
        <v>64</v>
      </c>
      <c r="AJ156" s="159" t="s">
        <v>64</v>
      </c>
      <c r="AK156" s="197" t="s">
        <v>64</v>
      </c>
    </row>
    <row r="157" spans="1:37" ht="84.75" customHeight="1" thickBot="1" x14ac:dyDescent="0.25">
      <c r="A157" s="1"/>
      <c r="B157" s="196" t="s">
        <v>42</v>
      </c>
      <c r="C157" s="143">
        <v>1320</v>
      </c>
      <c r="D157" s="143" t="s">
        <v>150</v>
      </c>
      <c r="E157" s="143" t="s">
        <v>44</v>
      </c>
      <c r="F157" s="175" t="s">
        <v>111</v>
      </c>
      <c r="G157" s="175" t="s">
        <v>112</v>
      </c>
      <c r="H157" s="175" t="s">
        <v>465</v>
      </c>
      <c r="I157" s="176">
        <v>59629999</v>
      </c>
      <c r="J157" s="177" t="s">
        <v>60</v>
      </c>
      <c r="K157" s="177" t="s">
        <v>48</v>
      </c>
      <c r="L157" s="178" t="s">
        <v>466</v>
      </c>
      <c r="M157" s="143">
        <v>14111700</v>
      </c>
      <c r="N157" s="145" t="str">
        <f t="shared" si="9"/>
        <v>Suministrar papel higiénico para las diferentes instalaciones de la Universidad Pedagógica Nacional.</v>
      </c>
      <c r="O157" s="146">
        <v>1</v>
      </c>
      <c r="P157" s="146">
        <v>1</v>
      </c>
      <c r="Q157" s="147">
        <v>11</v>
      </c>
      <c r="R157" s="148" t="s">
        <v>51</v>
      </c>
      <c r="S157" s="149" t="s">
        <v>467</v>
      </c>
      <c r="T157" s="150" t="s">
        <v>53</v>
      </c>
      <c r="U157" s="151">
        <f t="shared" si="12"/>
        <v>59629999</v>
      </c>
      <c r="V157" s="152">
        <f t="shared" si="13"/>
        <v>59629999</v>
      </c>
      <c r="W157" s="153" t="s">
        <v>54</v>
      </c>
      <c r="X157" s="153" t="s">
        <v>55</v>
      </c>
      <c r="Y157" s="154" t="s">
        <v>56</v>
      </c>
      <c r="Z157" s="155" t="s">
        <v>57</v>
      </c>
      <c r="AA157" s="156" t="s">
        <v>42</v>
      </c>
      <c r="AB157" s="157" t="s">
        <v>58</v>
      </c>
      <c r="AC157" s="158" t="s">
        <v>59</v>
      </c>
      <c r="AD157" s="153" t="s">
        <v>54</v>
      </c>
      <c r="AE157" s="153" t="s">
        <v>60</v>
      </c>
      <c r="AF157" s="159" t="s">
        <v>61</v>
      </c>
      <c r="AG157" s="159" t="s">
        <v>62</v>
      </c>
      <c r="AH157" s="159" t="s">
        <v>63</v>
      </c>
      <c r="AI157" s="159" t="s">
        <v>64</v>
      </c>
      <c r="AJ157" s="159" t="s">
        <v>64</v>
      </c>
      <c r="AK157" s="197" t="s">
        <v>64</v>
      </c>
    </row>
    <row r="158" spans="1:37" ht="84.75" customHeight="1" thickBot="1" x14ac:dyDescent="0.25">
      <c r="A158" s="1"/>
      <c r="B158" s="196" t="s">
        <v>42</v>
      </c>
      <c r="C158" s="143">
        <v>1320</v>
      </c>
      <c r="D158" s="143" t="s">
        <v>150</v>
      </c>
      <c r="E158" s="143" t="s">
        <v>44</v>
      </c>
      <c r="F158" s="175" t="s">
        <v>120</v>
      </c>
      <c r="G158" s="175" t="s">
        <v>121</v>
      </c>
      <c r="H158" s="175" t="s">
        <v>468</v>
      </c>
      <c r="I158" s="176">
        <v>125580000</v>
      </c>
      <c r="J158" s="177" t="s">
        <v>60</v>
      </c>
      <c r="K158" s="177" t="s">
        <v>48</v>
      </c>
      <c r="L158" s="178" t="s">
        <v>469</v>
      </c>
      <c r="M158" s="143">
        <v>80161800</v>
      </c>
      <c r="N158" s="145" t="str">
        <f t="shared" si="9"/>
        <v>Prestar el servicio de impresión, fotocopiado y scanner mediante el alquiler e instalación de equipos de última tecnología en las diferentes instalaciones de la Universidad Pedagógica Nacional</v>
      </c>
      <c r="O158" s="146">
        <v>1</v>
      </c>
      <c r="P158" s="146">
        <v>1</v>
      </c>
      <c r="Q158" s="147">
        <v>11</v>
      </c>
      <c r="R158" s="148" t="s">
        <v>51</v>
      </c>
      <c r="S158" s="149" t="s">
        <v>470</v>
      </c>
      <c r="T158" s="150" t="s">
        <v>53</v>
      </c>
      <c r="U158" s="151">
        <f t="shared" si="12"/>
        <v>125580000</v>
      </c>
      <c r="V158" s="152">
        <f t="shared" si="13"/>
        <v>125580000</v>
      </c>
      <c r="W158" s="153" t="s">
        <v>54</v>
      </c>
      <c r="X158" s="153" t="s">
        <v>55</v>
      </c>
      <c r="Y158" s="154" t="s">
        <v>56</v>
      </c>
      <c r="Z158" s="155" t="s">
        <v>57</v>
      </c>
      <c r="AA158" s="156" t="s">
        <v>42</v>
      </c>
      <c r="AB158" s="157" t="s">
        <v>58</v>
      </c>
      <c r="AC158" s="158" t="s">
        <v>59</v>
      </c>
      <c r="AD158" s="153" t="s">
        <v>54</v>
      </c>
      <c r="AE158" s="153" t="s">
        <v>60</v>
      </c>
      <c r="AF158" s="159" t="s">
        <v>61</v>
      </c>
      <c r="AG158" s="159" t="s">
        <v>62</v>
      </c>
      <c r="AH158" s="159" t="s">
        <v>63</v>
      </c>
      <c r="AI158" s="159" t="s">
        <v>64</v>
      </c>
      <c r="AJ158" s="159" t="s">
        <v>64</v>
      </c>
      <c r="AK158" s="197" t="s">
        <v>64</v>
      </c>
    </row>
    <row r="159" spans="1:37" ht="84.75" customHeight="1" thickBot="1" x14ac:dyDescent="0.25">
      <c r="A159" s="1"/>
      <c r="B159" s="196" t="s">
        <v>42</v>
      </c>
      <c r="C159" s="143">
        <v>1320</v>
      </c>
      <c r="D159" s="143" t="s">
        <v>150</v>
      </c>
      <c r="E159" s="143" t="s">
        <v>44</v>
      </c>
      <c r="F159" s="175" t="s">
        <v>120</v>
      </c>
      <c r="G159" s="175" t="s">
        <v>121</v>
      </c>
      <c r="H159" s="175" t="s">
        <v>471</v>
      </c>
      <c r="I159" s="176">
        <f>16000000-(240000+115000)</f>
        <v>15645000</v>
      </c>
      <c r="J159" s="177" t="s">
        <v>48</v>
      </c>
      <c r="K159" s="177" t="s">
        <v>48</v>
      </c>
      <c r="L159" s="178" t="s">
        <v>143</v>
      </c>
      <c r="M159" s="143" t="s">
        <v>50</v>
      </c>
      <c r="N159" s="145" t="str">
        <f t="shared" si="9"/>
        <v>Pago de las cuotas de administración de los lotes 26 y 29 del Condominio Campestre Los Tulipanes propiedad de la UPN de la vigencia 2024.</v>
      </c>
      <c r="O159" s="146">
        <v>1</v>
      </c>
      <c r="P159" s="146">
        <v>1</v>
      </c>
      <c r="Q159" s="147">
        <v>11</v>
      </c>
      <c r="R159" s="148" t="s">
        <v>51</v>
      </c>
      <c r="S159" s="149" t="s">
        <v>472</v>
      </c>
      <c r="T159" s="150" t="s">
        <v>53</v>
      </c>
      <c r="U159" s="151">
        <f t="shared" si="12"/>
        <v>15645000</v>
      </c>
      <c r="V159" s="152">
        <f t="shared" si="13"/>
        <v>15645000</v>
      </c>
      <c r="W159" s="153" t="s">
        <v>54</v>
      </c>
      <c r="X159" s="153" t="s">
        <v>55</v>
      </c>
      <c r="Y159" s="154" t="s">
        <v>56</v>
      </c>
      <c r="Z159" s="155" t="s">
        <v>57</v>
      </c>
      <c r="AA159" s="156" t="s">
        <v>42</v>
      </c>
      <c r="AB159" s="157" t="s">
        <v>58</v>
      </c>
      <c r="AC159" s="158" t="s">
        <v>59</v>
      </c>
      <c r="AD159" s="153" t="s">
        <v>54</v>
      </c>
      <c r="AE159" s="153" t="s">
        <v>60</v>
      </c>
      <c r="AF159" s="159" t="s">
        <v>61</v>
      </c>
      <c r="AG159" s="159" t="s">
        <v>62</v>
      </c>
      <c r="AH159" s="159" t="s">
        <v>63</v>
      </c>
      <c r="AI159" s="159" t="s">
        <v>64</v>
      </c>
      <c r="AJ159" s="159" t="s">
        <v>64</v>
      </c>
      <c r="AK159" s="197" t="s">
        <v>64</v>
      </c>
    </row>
    <row r="160" spans="1:37" ht="84.75" customHeight="1" thickBot="1" x14ac:dyDescent="0.25">
      <c r="A160" s="1"/>
      <c r="B160" s="196" t="s">
        <v>42</v>
      </c>
      <c r="C160" s="143">
        <v>1320</v>
      </c>
      <c r="D160" s="143" t="s">
        <v>150</v>
      </c>
      <c r="E160" s="143" t="s">
        <v>44</v>
      </c>
      <c r="F160" s="175" t="s">
        <v>123</v>
      </c>
      <c r="G160" s="175" t="s">
        <v>124</v>
      </c>
      <c r="H160" s="175" t="s">
        <v>473</v>
      </c>
      <c r="I160" s="176">
        <v>129000000</v>
      </c>
      <c r="J160" s="177" t="s">
        <v>60</v>
      </c>
      <c r="K160" s="177" t="s">
        <v>48</v>
      </c>
      <c r="L160" s="178" t="s">
        <v>474</v>
      </c>
      <c r="M160" s="143">
        <v>78181500</v>
      </c>
      <c r="N160" s="145" t="str">
        <f t="shared" si="9"/>
        <v xml:space="preserve">Realizar el mantenimiento  preventivo y correctivo a la flota vehicular de la Universidad Pedagógica Nacional </v>
      </c>
      <c r="O160" s="146">
        <v>1</v>
      </c>
      <c r="P160" s="146">
        <v>1</v>
      </c>
      <c r="Q160" s="147">
        <v>11</v>
      </c>
      <c r="R160" s="148" t="s">
        <v>51</v>
      </c>
      <c r="S160" s="149" t="s">
        <v>475</v>
      </c>
      <c r="T160" s="150" t="s">
        <v>53</v>
      </c>
      <c r="U160" s="151">
        <f t="shared" si="12"/>
        <v>129000000</v>
      </c>
      <c r="V160" s="152">
        <f t="shared" si="13"/>
        <v>129000000</v>
      </c>
      <c r="W160" s="153" t="s">
        <v>54</v>
      </c>
      <c r="X160" s="153" t="s">
        <v>55</v>
      </c>
      <c r="Y160" s="154" t="s">
        <v>56</v>
      </c>
      <c r="Z160" s="155" t="s">
        <v>57</v>
      </c>
      <c r="AA160" s="156" t="s">
        <v>42</v>
      </c>
      <c r="AB160" s="157" t="s">
        <v>58</v>
      </c>
      <c r="AC160" s="158" t="s">
        <v>59</v>
      </c>
      <c r="AD160" s="153" t="s">
        <v>54</v>
      </c>
      <c r="AE160" s="153" t="s">
        <v>60</v>
      </c>
      <c r="AF160" s="159" t="s">
        <v>61</v>
      </c>
      <c r="AG160" s="159" t="s">
        <v>62</v>
      </c>
      <c r="AH160" s="159" t="s">
        <v>63</v>
      </c>
      <c r="AI160" s="159" t="s">
        <v>64</v>
      </c>
      <c r="AJ160" s="159" t="s">
        <v>64</v>
      </c>
      <c r="AK160" s="197" t="s">
        <v>64</v>
      </c>
    </row>
    <row r="161" spans="1:41" ht="84.75" customHeight="1" thickBot="1" x14ac:dyDescent="0.25">
      <c r="A161" s="1"/>
      <c r="B161" s="196" t="s">
        <v>42</v>
      </c>
      <c r="C161" s="143">
        <v>1320</v>
      </c>
      <c r="D161" s="143" t="s">
        <v>150</v>
      </c>
      <c r="E161" s="143" t="s">
        <v>44</v>
      </c>
      <c r="F161" s="175" t="s">
        <v>123</v>
      </c>
      <c r="G161" s="175" t="s">
        <v>124</v>
      </c>
      <c r="H161" s="175" t="s">
        <v>476</v>
      </c>
      <c r="I161" s="176">
        <f>50000000-(11100000+6650600)</f>
        <v>32249400</v>
      </c>
      <c r="J161" s="177" t="s">
        <v>60</v>
      </c>
      <c r="K161" s="177" t="s">
        <v>48</v>
      </c>
      <c r="L161" s="178" t="s">
        <v>477</v>
      </c>
      <c r="M161" s="143" t="s">
        <v>478</v>
      </c>
      <c r="N161" s="145" t="str">
        <f t="shared" ref="N161:N163" si="19">H161</f>
        <v>Prestar el servicio para la elaboración e impresión del material de divulgación requerido por la Universidad Pedagógica Nacional para atender los diferentes eventos y/o requerimientos institucionales.</v>
      </c>
      <c r="O161" s="146">
        <v>3</v>
      </c>
      <c r="P161" s="146">
        <v>9</v>
      </c>
      <c r="Q161" s="147">
        <v>11</v>
      </c>
      <c r="R161" s="148" t="s">
        <v>51</v>
      </c>
      <c r="S161" s="149" t="s">
        <v>479</v>
      </c>
      <c r="T161" s="150" t="s">
        <v>53</v>
      </c>
      <c r="U161" s="151">
        <f t="shared" si="12"/>
        <v>32249400</v>
      </c>
      <c r="V161" s="152">
        <f t="shared" si="13"/>
        <v>32249400</v>
      </c>
      <c r="W161" s="153" t="s">
        <v>54</v>
      </c>
      <c r="X161" s="153" t="s">
        <v>55</v>
      </c>
      <c r="Y161" s="154" t="s">
        <v>56</v>
      </c>
      <c r="Z161" s="155" t="s">
        <v>57</v>
      </c>
      <c r="AA161" s="156" t="s">
        <v>42</v>
      </c>
      <c r="AB161" s="157" t="s">
        <v>58</v>
      </c>
      <c r="AC161" s="158" t="s">
        <v>59</v>
      </c>
      <c r="AD161" s="153" t="s">
        <v>54</v>
      </c>
      <c r="AE161" s="153" t="s">
        <v>60</v>
      </c>
      <c r="AF161" s="159" t="s">
        <v>61</v>
      </c>
      <c r="AG161" s="159" t="s">
        <v>62</v>
      </c>
      <c r="AH161" s="159" t="s">
        <v>63</v>
      </c>
      <c r="AI161" s="159" t="s">
        <v>64</v>
      </c>
      <c r="AJ161" s="159" t="s">
        <v>64</v>
      </c>
      <c r="AK161" s="197" t="s">
        <v>64</v>
      </c>
    </row>
    <row r="162" spans="1:41" s="18" customFormat="1" ht="84.75" customHeight="1" thickBot="1" x14ac:dyDescent="0.25">
      <c r="A162" s="1"/>
      <c r="B162" s="196" t="s">
        <v>42</v>
      </c>
      <c r="C162" s="143">
        <v>1320</v>
      </c>
      <c r="D162" s="143" t="s">
        <v>150</v>
      </c>
      <c r="E162" s="143" t="s">
        <v>44</v>
      </c>
      <c r="F162" s="175" t="s">
        <v>128</v>
      </c>
      <c r="G162" s="175" t="s">
        <v>129</v>
      </c>
      <c r="H162" s="175" t="s">
        <v>480</v>
      </c>
      <c r="I162" s="176">
        <f>25000000+5550000</f>
        <v>30550000</v>
      </c>
      <c r="J162" s="177" t="s">
        <v>60</v>
      </c>
      <c r="K162" s="177" t="s">
        <v>54</v>
      </c>
      <c r="L162" s="178" t="s">
        <v>481</v>
      </c>
      <c r="M162" s="143" t="s">
        <v>482</v>
      </c>
      <c r="N162" s="145" t="str">
        <f t="shared" si="19"/>
        <v>Adquirir buzos, camisetas y gorras institucionales en el marco de la participación de la UPN en la Feria internacional del libro de Bogotá y librería</v>
      </c>
      <c r="O162" s="146">
        <v>4</v>
      </c>
      <c r="P162" s="146">
        <v>8</v>
      </c>
      <c r="Q162" s="147">
        <v>11</v>
      </c>
      <c r="R162" s="148" t="s">
        <v>51</v>
      </c>
      <c r="S162" s="149" t="s">
        <v>483</v>
      </c>
      <c r="T162" s="150" t="s">
        <v>53</v>
      </c>
      <c r="U162" s="151">
        <f t="shared" si="12"/>
        <v>30550000</v>
      </c>
      <c r="V162" s="152">
        <f t="shared" si="13"/>
        <v>30550000</v>
      </c>
      <c r="W162" s="153" t="s">
        <v>54</v>
      </c>
      <c r="X162" s="153" t="s">
        <v>55</v>
      </c>
      <c r="Y162" s="154" t="s">
        <v>56</v>
      </c>
      <c r="Z162" s="155" t="s">
        <v>57</v>
      </c>
      <c r="AA162" s="156" t="s">
        <v>42</v>
      </c>
      <c r="AB162" s="157" t="s">
        <v>58</v>
      </c>
      <c r="AC162" s="158" t="s">
        <v>59</v>
      </c>
      <c r="AD162" s="153" t="s">
        <v>54</v>
      </c>
      <c r="AE162" s="153" t="s">
        <v>60</v>
      </c>
      <c r="AF162" s="159" t="s">
        <v>61</v>
      </c>
      <c r="AG162" s="159" t="s">
        <v>62</v>
      </c>
      <c r="AH162" s="159" t="s">
        <v>63</v>
      </c>
      <c r="AI162" s="159" t="s">
        <v>64</v>
      </c>
      <c r="AJ162" s="159" t="s">
        <v>64</v>
      </c>
      <c r="AK162" s="197" t="s">
        <v>64</v>
      </c>
      <c r="AL162" s="29"/>
      <c r="AM162" s="29"/>
      <c r="AN162" s="29"/>
      <c r="AO162" s="29"/>
    </row>
    <row r="163" spans="1:41" ht="84.75" customHeight="1" thickBot="1" x14ac:dyDescent="0.25">
      <c r="A163" s="1"/>
      <c r="B163" s="196" t="s">
        <v>42</v>
      </c>
      <c r="C163" s="143">
        <v>1320</v>
      </c>
      <c r="D163" s="143" t="s">
        <v>150</v>
      </c>
      <c r="E163" s="143" t="s">
        <v>44</v>
      </c>
      <c r="F163" s="175" t="s">
        <v>111</v>
      </c>
      <c r="G163" s="175" t="s">
        <v>112</v>
      </c>
      <c r="H163" s="175" t="s">
        <v>484</v>
      </c>
      <c r="I163" s="176">
        <v>7092401</v>
      </c>
      <c r="J163" s="177" t="s">
        <v>60</v>
      </c>
      <c r="K163" s="177" t="s">
        <v>48</v>
      </c>
      <c r="L163" s="178" t="s">
        <v>485</v>
      </c>
      <c r="M163" s="238" t="s">
        <v>486</v>
      </c>
      <c r="N163" s="237" t="str">
        <f t="shared" si="19"/>
        <v>Adquirir materiales institucionales en el marco de la participación de la UPN en la Feria Internacional del Libro de Bogotá y librería </v>
      </c>
      <c r="O163" s="146">
        <v>4</v>
      </c>
      <c r="P163" s="146">
        <v>8</v>
      </c>
      <c r="Q163" s="147">
        <v>11</v>
      </c>
      <c r="R163" s="148" t="s">
        <v>51</v>
      </c>
      <c r="S163" s="149" t="s">
        <v>487</v>
      </c>
      <c r="T163" s="150" t="s">
        <v>53</v>
      </c>
      <c r="U163" s="151">
        <f t="shared" si="12"/>
        <v>7092401</v>
      </c>
      <c r="V163" s="152">
        <f t="shared" si="13"/>
        <v>7092401</v>
      </c>
      <c r="W163" s="153" t="s">
        <v>54</v>
      </c>
      <c r="X163" s="153" t="s">
        <v>55</v>
      </c>
      <c r="Y163" s="154" t="s">
        <v>56</v>
      </c>
      <c r="Z163" s="155" t="s">
        <v>57</v>
      </c>
      <c r="AA163" s="156" t="s">
        <v>42</v>
      </c>
      <c r="AB163" s="157" t="s">
        <v>58</v>
      </c>
      <c r="AC163" s="158" t="s">
        <v>59</v>
      </c>
      <c r="AD163" s="153" t="s">
        <v>54</v>
      </c>
      <c r="AE163" s="153" t="s">
        <v>60</v>
      </c>
      <c r="AF163" s="159" t="s">
        <v>61</v>
      </c>
      <c r="AG163" s="159" t="s">
        <v>62</v>
      </c>
      <c r="AH163" s="159" t="s">
        <v>63</v>
      </c>
      <c r="AI163" s="159" t="s">
        <v>64</v>
      </c>
      <c r="AJ163" s="159" t="s">
        <v>64</v>
      </c>
      <c r="AK163" s="197" t="s">
        <v>64</v>
      </c>
    </row>
    <row r="164" spans="1:41" ht="84.75" customHeight="1" thickBot="1" x14ac:dyDescent="0.25">
      <c r="A164" s="1"/>
      <c r="B164" s="196" t="s">
        <v>42</v>
      </c>
      <c r="C164" s="143">
        <v>1320</v>
      </c>
      <c r="D164" s="143" t="s">
        <v>150</v>
      </c>
      <c r="E164" s="143" t="s">
        <v>44</v>
      </c>
      <c r="F164" s="175" t="s">
        <v>114</v>
      </c>
      <c r="G164" s="175" t="s">
        <v>115</v>
      </c>
      <c r="H164" s="175" t="s">
        <v>484</v>
      </c>
      <c r="I164" s="176">
        <v>2357600</v>
      </c>
      <c r="J164" s="177" t="s">
        <v>60</v>
      </c>
      <c r="K164" s="177" t="s">
        <v>48</v>
      </c>
      <c r="L164" s="178" t="s">
        <v>485</v>
      </c>
      <c r="M164" s="238"/>
      <c r="N164" s="237"/>
      <c r="O164" s="146">
        <v>4</v>
      </c>
      <c r="P164" s="146">
        <v>8</v>
      </c>
      <c r="Q164" s="147">
        <v>11</v>
      </c>
      <c r="R164" s="148" t="s">
        <v>51</v>
      </c>
      <c r="S164" s="149" t="s">
        <v>487</v>
      </c>
      <c r="T164" s="150" t="s">
        <v>53</v>
      </c>
      <c r="U164" s="151">
        <f t="shared" si="12"/>
        <v>2357600</v>
      </c>
      <c r="V164" s="152">
        <f t="shared" si="13"/>
        <v>2357600</v>
      </c>
      <c r="W164" s="153" t="s">
        <v>54</v>
      </c>
      <c r="X164" s="153" t="s">
        <v>55</v>
      </c>
      <c r="Y164" s="154" t="s">
        <v>56</v>
      </c>
      <c r="Z164" s="155" t="s">
        <v>57</v>
      </c>
      <c r="AA164" s="156" t="s">
        <v>42</v>
      </c>
      <c r="AB164" s="157" t="s">
        <v>58</v>
      </c>
      <c r="AC164" s="158" t="s">
        <v>59</v>
      </c>
      <c r="AD164" s="153" t="s">
        <v>54</v>
      </c>
      <c r="AE164" s="153" t="s">
        <v>60</v>
      </c>
      <c r="AF164" s="159" t="s">
        <v>61</v>
      </c>
      <c r="AG164" s="159" t="s">
        <v>62</v>
      </c>
      <c r="AH164" s="159" t="s">
        <v>63</v>
      </c>
      <c r="AI164" s="159" t="s">
        <v>64</v>
      </c>
      <c r="AJ164" s="159" t="s">
        <v>64</v>
      </c>
      <c r="AK164" s="197" t="s">
        <v>64</v>
      </c>
    </row>
    <row r="165" spans="1:41" ht="84.75" customHeight="1" thickBot="1" x14ac:dyDescent="0.25">
      <c r="A165" s="1"/>
      <c r="B165" s="196" t="s">
        <v>42</v>
      </c>
      <c r="C165" s="143">
        <v>1320</v>
      </c>
      <c r="D165" s="143" t="s">
        <v>150</v>
      </c>
      <c r="E165" s="143" t="s">
        <v>44</v>
      </c>
      <c r="F165" s="175" t="s">
        <v>120</v>
      </c>
      <c r="G165" s="175" t="s">
        <v>121</v>
      </c>
      <c r="H165" s="175" t="s">
        <v>488</v>
      </c>
      <c r="I165" s="176">
        <v>14000000</v>
      </c>
      <c r="J165" s="177" t="s">
        <v>48</v>
      </c>
      <c r="K165" s="177" t="s">
        <v>48</v>
      </c>
      <c r="L165" s="178" t="s">
        <v>143</v>
      </c>
      <c r="M165" s="143" t="s">
        <v>50</v>
      </c>
      <c r="N165" s="145" t="str">
        <f>H165</f>
        <v xml:space="preserve">Prestar el servicio de seguro exequiales </v>
      </c>
      <c r="O165" s="146">
        <v>1</v>
      </c>
      <c r="P165" s="146">
        <v>1</v>
      </c>
      <c r="Q165" s="147">
        <v>11</v>
      </c>
      <c r="R165" s="148" t="s">
        <v>51</v>
      </c>
      <c r="S165" s="149" t="s">
        <v>489</v>
      </c>
      <c r="T165" s="150" t="s">
        <v>53</v>
      </c>
      <c r="U165" s="151">
        <f t="shared" si="12"/>
        <v>14000000</v>
      </c>
      <c r="V165" s="152">
        <f t="shared" si="13"/>
        <v>14000000</v>
      </c>
      <c r="W165" s="153" t="s">
        <v>54</v>
      </c>
      <c r="X165" s="153" t="s">
        <v>55</v>
      </c>
      <c r="Y165" s="154" t="s">
        <v>56</v>
      </c>
      <c r="Z165" s="155" t="s">
        <v>57</v>
      </c>
      <c r="AA165" s="156" t="s">
        <v>42</v>
      </c>
      <c r="AB165" s="157" t="s">
        <v>58</v>
      </c>
      <c r="AC165" s="158" t="s">
        <v>59</v>
      </c>
      <c r="AD165" s="153" t="s">
        <v>54</v>
      </c>
      <c r="AE165" s="153" t="s">
        <v>60</v>
      </c>
      <c r="AF165" s="159" t="s">
        <v>61</v>
      </c>
      <c r="AG165" s="159" t="s">
        <v>62</v>
      </c>
      <c r="AH165" s="159" t="s">
        <v>63</v>
      </c>
      <c r="AI165" s="159" t="s">
        <v>64</v>
      </c>
      <c r="AJ165" s="159" t="s">
        <v>64</v>
      </c>
      <c r="AK165" s="197" t="s">
        <v>64</v>
      </c>
    </row>
    <row r="166" spans="1:41" ht="84.75" customHeight="1" thickBot="1" x14ac:dyDescent="0.25">
      <c r="A166" s="1"/>
      <c r="B166" s="196" t="s">
        <v>42</v>
      </c>
      <c r="C166" s="143">
        <v>1320</v>
      </c>
      <c r="D166" s="143" t="s">
        <v>150</v>
      </c>
      <c r="E166" s="143" t="s">
        <v>44</v>
      </c>
      <c r="F166" s="175" t="s">
        <v>123</v>
      </c>
      <c r="G166" s="175" t="s">
        <v>124</v>
      </c>
      <c r="H166" s="175" t="s">
        <v>490</v>
      </c>
      <c r="I166" s="176">
        <f>10000000-10000000</f>
        <v>0</v>
      </c>
      <c r="J166" s="177" t="s">
        <v>60</v>
      </c>
      <c r="K166" s="177" t="s">
        <v>48</v>
      </c>
      <c r="L166" s="178" t="s">
        <v>491</v>
      </c>
      <c r="M166" s="143">
        <v>78181500</v>
      </c>
      <c r="N166" s="145" t="str">
        <f>H166</f>
        <v>Realizar mantenimiento correctivo y preventivo de los tractores de la Universidad Pedagógica Nacional</v>
      </c>
      <c r="O166" s="146">
        <v>1</v>
      </c>
      <c r="P166" s="146">
        <v>1</v>
      </c>
      <c r="Q166" s="147">
        <v>11</v>
      </c>
      <c r="R166" s="148" t="s">
        <v>51</v>
      </c>
      <c r="S166" s="149" t="s">
        <v>492</v>
      </c>
      <c r="T166" s="150" t="s">
        <v>53</v>
      </c>
      <c r="U166" s="151">
        <f t="shared" si="12"/>
        <v>0</v>
      </c>
      <c r="V166" s="152">
        <f t="shared" si="13"/>
        <v>0</v>
      </c>
      <c r="W166" s="153" t="s">
        <v>54</v>
      </c>
      <c r="X166" s="153" t="s">
        <v>55</v>
      </c>
      <c r="Y166" s="154" t="s">
        <v>56</v>
      </c>
      <c r="Z166" s="155" t="s">
        <v>57</v>
      </c>
      <c r="AA166" s="156" t="s">
        <v>42</v>
      </c>
      <c r="AB166" s="157" t="s">
        <v>58</v>
      </c>
      <c r="AC166" s="158" t="s">
        <v>59</v>
      </c>
      <c r="AD166" s="153" t="s">
        <v>54</v>
      </c>
      <c r="AE166" s="153" t="s">
        <v>60</v>
      </c>
      <c r="AF166" s="159" t="s">
        <v>61</v>
      </c>
      <c r="AG166" s="159" t="s">
        <v>62</v>
      </c>
      <c r="AH166" s="159" t="s">
        <v>63</v>
      </c>
      <c r="AI166" s="159" t="s">
        <v>64</v>
      </c>
      <c r="AJ166" s="159" t="s">
        <v>64</v>
      </c>
      <c r="AK166" s="197" t="s">
        <v>64</v>
      </c>
    </row>
    <row r="167" spans="1:41" s="30" customFormat="1" ht="84.75" customHeight="1" thickBot="1" x14ac:dyDescent="0.25">
      <c r="A167" s="1"/>
      <c r="B167" s="196" t="s">
        <v>42</v>
      </c>
      <c r="C167" s="143">
        <v>1320</v>
      </c>
      <c r="D167" s="143" t="s">
        <v>150</v>
      </c>
      <c r="E167" s="143" t="s">
        <v>44</v>
      </c>
      <c r="F167" s="175" t="s">
        <v>123</v>
      </c>
      <c r="G167" s="175" t="s">
        <v>124</v>
      </c>
      <c r="H167" s="175" t="s">
        <v>493</v>
      </c>
      <c r="I167" s="176">
        <f>5600000-2771109</f>
        <v>2828891</v>
      </c>
      <c r="J167" s="177" t="s">
        <v>60</v>
      </c>
      <c r="K167" s="177" t="s">
        <v>48</v>
      </c>
      <c r="L167" s="178" t="s">
        <v>494</v>
      </c>
      <c r="M167" s="143">
        <v>73152100</v>
      </c>
      <c r="N167" s="145" t="str">
        <f>H167</f>
        <v>Prestar el servicio de mantenimiento preventivo y correctivo de las máquinas brilladoras de la UPN</v>
      </c>
      <c r="O167" s="146">
        <v>1</v>
      </c>
      <c r="P167" s="146">
        <v>1</v>
      </c>
      <c r="Q167" s="147">
        <v>11</v>
      </c>
      <c r="R167" s="148" t="s">
        <v>51</v>
      </c>
      <c r="S167" s="149" t="s">
        <v>495</v>
      </c>
      <c r="T167" s="150" t="s">
        <v>53</v>
      </c>
      <c r="U167" s="151">
        <f t="shared" si="12"/>
        <v>2828891</v>
      </c>
      <c r="V167" s="152">
        <f t="shared" si="13"/>
        <v>2828891</v>
      </c>
      <c r="W167" s="153" t="s">
        <v>54</v>
      </c>
      <c r="X167" s="153" t="s">
        <v>55</v>
      </c>
      <c r="Y167" s="154" t="s">
        <v>56</v>
      </c>
      <c r="Z167" s="155" t="s">
        <v>57</v>
      </c>
      <c r="AA167" s="156" t="s">
        <v>42</v>
      </c>
      <c r="AB167" s="157" t="s">
        <v>58</v>
      </c>
      <c r="AC167" s="158" t="s">
        <v>59</v>
      </c>
      <c r="AD167" s="153" t="s">
        <v>54</v>
      </c>
      <c r="AE167" s="153" t="s">
        <v>60</v>
      </c>
      <c r="AF167" s="159" t="s">
        <v>61</v>
      </c>
      <c r="AG167" s="159" t="s">
        <v>62</v>
      </c>
      <c r="AH167" s="159" t="s">
        <v>63</v>
      </c>
      <c r="AI167" s="159" t="s">
        <v>64</v>
      </c>
      <c r="AJ167" s="159" t="s">
        <v>64</v>
      </c>
      <c r="AK167" s="197" t="s">
        <v>64</v>
      </c>
      <c r="AL167" s="42"/>
      <c r="AM167" s="42"/>
      <c r="AN167" s="42"/>
      <c r="AO167" s="42"/>
    </row>
    <row r="168" spans="1:41" s="30" customFormat="1" ht="84.75" customHeight="1" thickBot="1" x14ac:dyDescent="0.25">
      <c r="A168" s="1"/>
      <c r="B168" s="196" t="s">
        <v>42</v>
      </c>
      <c r="C168" s="143">
        <v>1320</v>
      </c>
      <c r="D168" s="143" t="s">
        <v>150</v>
      </c>
      <c r="E168" s="143" t="s">
        <v>44</v>
      </c>
      <c r="F168" s="175" t="s">
        <v>123</v>
      </c>
      <c r="G168" s="175" t="s">
        <v>124</v>
      </c>
      <c r="H168" s="175" t="s">
        <v>496</v>
      </c>
      <c r="I168" s="176">
        <f>15000000-(8440000+6560000)</f>
        <v>0</v>
      </c>
      <c r="J168" s="177" t="s">
        <v>60</v>
      </c>
      <c r="K168" s="177" t="s">
        <v>48</v>
      </c>
      <c r="L168" s="178" t="s">
        <v>497</v>
      </c>
      <c r="M168" s="143" t="s">
        <v>498</v>
      </c>
      <c r="N168" s="145" t="s">
        <v>496</v>
      </c>
      <c r="O168" s="146">
        <v>1</v>
      </c>
      <c r="P168" s="146">
        <v>1</v>
      </c>
      <c r="Q168" s="147">
        <v>11</v>
      </c>
      <c r="R168" s="148" t="s">
        <v>51</v>
      </c>
      <c r="S168" s="149" t="s">
        <v>499</v>
      </c>
      <c r="T168" s="150" t="s">
        <v>53</v>
      </c>
      <c r="U168" s="151">
        <f t="shared" si="12"/>
        <v>0</v>
      </c>
      <c r="V168" s="152">
        <f t="shared" si="13"/>
        <v>0</v>
      </c>
      <c r="W168" s="153" t="s">
        <v>54</v>
      </c>
      <c r="X168" s="153" t="s">
        <v>55</v>
      </c>
      <c r="Y168" s="154" t="s">
        <v>56</v>
      </c>
      <c r="Z168" s="155" t="s">
        <v>57</v>
      </c>
      <c r="AA168" s="156" t="s">
        <v>42</v>
      </c>
      <c r="AB168" s="157" t="s">
        <v>58</v>
      </c>
      <c r="AC168" s="158" t="s">
        <v>59</v>
      </c>
      <c r="AD168" s="153" t="s">
        <v>54</v>
      </c>
      <c r="AE168" s="153" t="s">
        <v>60</v>
      </c>
      <c r="AF168" s="159" t="s">
        <v>61</v>
      </c>
      <c r="AG168" s="159" t="s">
        <v>62</v>
      </c>
      <c r="AH168" s="159" t="s">
        <v>63</v>
      </c>
      <c r="AI168" s="159" t="s">
        <v>64</v>
      </c>
      <c r="AJ168" s="159" t="s">
        <v>64</v>
      </c>
      <c r="AK168" s="197" t="s">
        <v>64</v>
      </c>
      <c r="AL168" s="42"/>
      <c r="AM168" s="42"/>
      <c r="AN168" s="42"/>
      <c r="AO168" s="42"/>
    </row>
    <row r="169" spans="1:41" ht="84.75" customHeight="1" thickBot="1" x14ac:dyDescent="0.25">
      <c r="A169" s="1"/>
      <c r="B169" s="196" t="s">
        <v>42</v>
      </c>
      <c r="C169" s="143">
        <v>1320</v>
      </c>
      <c r="D169" s="143" t="s">
        <v>150</v>
      </c>
      <c r="E169" s="143" t="s">
        <v>44</v>
      </c>
      <c r="F169" s="175" t="s">
        <v>123</v>
      </c>
      <c r="G169" s="175" t="s">
        <v>124</v>
      </c>
      <c r="H169" s="175" t="s">
        <v>500</v>
      </c>
      <c r="I169" s="176">
        <v>15000000</v>
      </c>
      <c r="J169" s="177" t="s">
        <v>60</v>
      </c>
      <c r="K169" s="177" t="s">
        <v>48</v>
      </c>
      <c r="L169" s="178" t="s">
        <v>501</v>
      </c>
      <c r="M169" s="143">
        <v>76111800</v>
      </c>
      <c r="N169" s="145" t="str">
        <f>H169</f>
        <v>Realizar el lavado externo de los vehículos del parque automotor de la Universidad Pedagógica Nacional.</v>
      </c>
      <c r="O169" s="146">
        <v>1</v>
      </c>
      <c r="P169" s="146">
        <v>1</v>
      </c>
      <c r="Q169" s="147">
        <v>11</v>
      </c>
      <c r="R169" s="148" t="s">
        <v>51</v>
      </c>
      <c r="S169" s="149" t="s">
        <v>502</v>
      </c>
      <c r="T169" s="150" t="s">
        <v>53</v>
      </c>
      <c r="U169" s="151">
        <f t="shared" si="12"/>
        <v>15000000</v>
      </c>
      <c r="V169" s="152">
        <f t="shared" si="13"/>
        <v>15000000</v>
      </c>
      <c r="W169" s="153" t="s">
        <v>54</v>
      </c>
      <c r="X169" s="153" t="s">
        <v>55</v>
      </c>
      <c r="Y169" s="154" t="s">
        <v>56</v>
      </c>
      <c r="Z169" s="155" t="s">
        <v>57</v>
      </c>
      <c r="AA169" s="156" t="s">
        <v>42</v>
      </c>
      <c r="AB169" s="157" t="s">
        <v>58</v>
      </c>
      <c r="AC169" s="158" t="s">
        <v>59</v>
      </c>
      <c r="AD169" s="153" t="s">
        <v>54</v>
      </c>
      <c r="AE169" s="153" t="s">
        <v>60</v>
      </c>
      <c r="AF169" s="159" t="s">
        <v>61</v>
      </c>
      <c r="AG169" s="159" t="s">
        <v>62</v>
      </c>
      <c r="AH169" s="159" t="s">
        <v>63</v>
      </c>
      <c r="AI169" s="159" t="s">
        <v>64</v>
      </c>
      <c r="AJ169" s="159" t="s">
        <v>64</v>
      </c>
      <c r="AK169" s="197" t="s">
        <v>64</v>
      </c>
    </row>
    <row r="170" spans="1:41" s="18" customFormat="1" ht="84.75" customHeight="1" thickBot="1" x14ac:dyDescent="0.25">
      <c r="A170" s="1"/>
      <c r="B170" s="196" t="s">
        <v>42</v>
      </c>
      <c r="C170" s="143">
        <v>1320</v>
      </c>
      <c r="D170" s="143" t="s">
        <v>150</v>
      </c>
      <c r="E170" s="143" t="s">
        <v>44</v>
      </c>
      <c r="F170" s="175" t="s">
        <v>123</v>
      </c>
      <c r="G170" s="175" t="s">
        <v>124</v>
      </c>
      <c r="H170" s="175" t="s">
        <v>503</v>
      </c>
      <c r="I170" s="176">
        <f>10000000+45977953-(700000+14035335+37519350+2998800)</f>
        <v>724468</v>
      </c>
      <c r="J170" s="177" t="s">
        <v>60</v>
      </c>
      <c r="K170" s="177" t="s">
        <v>48</v>
      </c>
      <c r="L170" s="178" t="s">
        <v>504</v>
      </c>
      <c r="M170" s="143">
        <v>32101656</v>
      </c>
      <c r="N170" s="145" t="str">
        <f>H170</f>
        <v>Prestar el servicio de Monitoreo y Rastreo Satelital para los vehículos del Parque Automotor de propiedad de la UPN</v>
      </c>
      <c r="O170" s="146">
        <v>1</v>
      </c>
      <c r="P170" s="146">
        <v>1</v>
      </c>
      <c r="Q170" s="147">
        <v>11</v>
      </c>
      <c r="R170" s="148" t="s">
        <v>51</v>
      </c>
      <c r="S170" s="149" t="s">
        <v>505</v>
      </c>
      <c r="T170" s="150" t="s">
        <v>53</v>
      </c>
      <c r="U170" s="151">
        <f t="shared" si="12"/>
        <v>724468</v>
      </c>
      <c r="V170" s="152">
        <f t="shared" si="13"/>
        <v>724468</v>
      </c>
      <c r="W170" s="153" t="s">
        <v>54</v>
      </c>
      <c r="X170" s="153" t="s">
        <v>55</v>
      </c>
      <c r="Y170" s="154" t="s">
        <v>56</v>
      </c>
      <c r="Z170" s="155" t="s">
        <v>57</v>
      </c>
      <c r="AA170" s="156" t="s">
        <v>42</v>
      </c>
      <c r="AB170" s="157" t="s">
        <v>58</v>
      </c>
      <c r="AC170" s="158" t="s">
        <v>59</v>
      </c>
      <c r="AD170" s="153" t="s">
        <v>54</v>
      </c>
      <c r="AE170" s="153" t="s">
        <v>60</v>
      </c>
      <c r="AF170" s="159" t="s">
        <v>61</v>
      </c>
      <c r="AG170" s="159" t="s">
        <v>62</v>
      </c>
      <c r="AH170" s="159" t="s">
        <v>63</v>
      </c>
      <c r="AI170" s="159" t="s">
        <v>64</v>
      </c>
      <c r="AJ170" s="159" t="s">
        <v>64</v>
      </c>
      <c r="AK170" s="197" t="s">
        <v>64</v>
      </c>
      <c r="AL170" s="29"/>
      <c r="AM170" s="29"/>
      <c r="AN170" s="29"/>
      <c r="AO170" s="29"/>
    </row>
    <row r="171" spans="1:41" s="30" customFormat="1" ht="84.75" customHeight="1" thickBot="1" x14ac:dyDescent="0.25">
      <c r="A171" s="1"/>
      <c r="B171" s="196" t="s">
        <v>42</v>
      </c>
      <c r="C171" s="143">
        <v>1320</v>
      </c>
      <c r="D171" s="143" t="s">
        <v>150</v>
      </c>
      <c r="E171" s="143" t="s">
        <v>44</v>
      </c>
      <c r="F171" s="175" t="s">
        <v>126</v>
      </c>
      <c r="G171" s="175" t="s">
        <v>127</v>
      </c>
      <c r="H171" s="175" t="s">
        <v>506</v>
      </c>
      <c r="I171" s="176">
        <v>16000000</v>
      </c>
      <c r="J171" s="177" t="s">
        <v>60</v>
      </c>
      <c r="K171" s="177" t="s">
        <v>48</v>
      </c>
      <c r="L171" s="178" t="s">
        <v>507</v>
      </c>
      <c r="M171" s="143">
        <v>92101900</v>
      </c>
      <c r="N171" s="145" t="str">
        <f>H171</f>
        <v>Prestar el servicio de ambulancia en las diferentes actividades académicas y administrativas de la Universidad Pedagógica Nacional.</v>
      </c>
      <c r="O171" s="146">
        <v>1</v>
      </c>
      <c r="P171" s="146">
        <v>1</v>
      </c>
      <c r="Q171" s="147">
        <v>11</v>
      </c>
      <c r="R171" s="148" t="s">
        <v>51</v>
      </c>
      <c r="S171" s="149" t="s">
        <v>508</v>
      </c>
      <c r="T171" s="150" t="s">
        <v>53</v>
      </c>
      <c r="U171" s="151">
        <f t="shared" si="12"/>
        <v>16000000</v>
      </c>
      <c r="V171" s="152">
        <f t="shared" si="13"/>
        <v>16000000</v>
      </c>
      <c r="W171" s="153" t="s">
        <v>54</v>
      </c>
      <c r="X171" s="153" t="s">
        <v>55</v>
      </c>
      <c r="Y171" s="154" t="s">
        <v>56</v>
      </c>
      <c r="Z171" s="155" t="s">
        <v>57</v>
      </c>
      <c r="AA171" s="156" t="s">
        <v>42</v>
      </c>
      <c r="AB171" s="157" t="s">
        <v>58</v>
      </c>
      <c r="AC171" s="158" t="s">
        <v>59</v>
      </c>
      <c r="AD171" s="153" t="s">
        <v>54</v>
      </c>
      <c r="AE171" s="153" t="s">
        <v>60</v>
      </c>
      <c r="AF171" s="159" t="s">
        <v>61</v>
      </c>
      <c r="AG171" s="159" t="s">
        <v>62</v>
      </c>
      <c r="AH171" s="159" t="s">
        <v>63</v>
      </c>
      <c r="AI171" s="159" t="s">
        <v>64</v>
      </c>
      <c r="AJ171" s="159" t="s">
        <v>64</v>
      </c>
      <c r="AK171" s="197" t="s">
        <v>64</v>
      </c>
      <c r="AL171" s="42"/>
      <c r="AM171" s="42"/>
      <c r="AN171" s="42"/>
      <c r="AO171" s="42"/>
    </row>
    <row r="172" spans="1:41" s="30" customFormat="1" ht="84.75" customHeight="1" thickBot="1" x14ac:dyDescent="0.25">
      <c r="A172" s="1"/>
      <c r="B172" s="196" t="s">
        <v>42</v>
      </c>
      <c r="C172" s="143">
        <v>1320</v>
      </c>
      <c r="D172" s="143" t="s">
        <v>150</v>
      </c>
      <c r="E172" s="143" t="s">
        <v>44</v>
      </c>
      <c r="F172" s="175" t="s">
        <v>120</v>
      </c>
      <c r="G172" s="175" t="s">
        <v>121</v>
      </c>
      <c r="H172" s="175" t="s">
        <v>509</v>
      </c>
      <c r="I172" s="176">
        <v>76157808</v>
      </c>
      <c r="J172" s="177" t="s">
        <v>48</v>
      </c>
      <c r="K172" s="177" t="s">
        <v>48</v>
      </c>
      <c r="L172" s="178" t="s">
        <v>510</v>
      </c>
      <c r="M172" s="143" t="s">
        <v>50</v>
      </c>
      <c r="N172" s="145" t="s">
        <v>509</v>
      </c>
      <c r="O172" s="146">
        <v>1</v>
      </c>
      <c r="P172" s="146">
        <v>1</v>
      </c>
      <c r="Q172" s="147">
        <v>11</v>
      </c>
      <c r="R172" s="148" t="s">
        <v>51</v>
      </c>
      <c r="S172" s="149" t="s">
        <v>511</v>
      </c>
      <c r="T172" s="150" t="s">
        <v>53</v>
      </c>
      <c r="U172" s="151">
        <f t="shared" si="12"/>
        <v>76157808</v>
      </c>
      <c r="V172" s="152">
        <f t="shared" si="13"/>
        <v>76157808</v>
      </c>
      <c r="W172" s="153" t="s">
        <v>54</v>
      </c>
      <c r="X172" s="153" t="s">
        <v>55</v>
      </c>
      <c r="Y172" s="154" t="s">
        <v>56</v>
      </c>
      <c r="Z172" s="155" t="s">
        <v>57</v>
      </c>
      <c r="AA172" s="156" t="s">
        <v>42</v>
      </c>
      <c r="AB172" s="157" t="s">
        <v>58</v>
      </c>
      <c r="AC172" s="158" t="s">
        <v>59</v>
      </c>
      <c r="AD172" s="153" t="s">
        <v>54</v>
      </c>
      <c r="AE172" s="153" t="s">
        <v>60</v>
      </c>
      <c r="AF172" s="159" t="s">
        <v>61</v>
      </c>
      <c r="AG172" s="159" t="s">
        <v>62</v>
      </c>
      <c r="AH172" s="159" t="s">
        <v>63</v>
      </c>
      <c r="AI172" s="159" t="s">
        <v>64</v>
      </c>
      <c r="AJ172" s="159" t="s">
        <v>64</v>
      </c>
      <c r="AK172" s="197" t="s">
        <v>64</v>
      </c>
      <c r="AL172" s="42"/>
      <c r="AM172" s="42"/>
      <c r="AN172" s="42"/>
      <c r="AO172" s="42"/>
    </row>
    <row r="173" spans="1:41" s="30" customFormat="1" ht="84.75" customHeight="1" thickBot="1" x14ac:dyDescent="0.25">
      <c r="A173" s="1"/>
      <c r="B173" s="196" t="s">
        <v>42</v>
      </c>
      <c r="C173" s="143">
        <v>1320</v>
      </c>
      <c r="D173" s="143" t="s">
        <v>150</v>
      </c>
      <c r="E173" s="143" t="s">
        <v>44</v>
      </c>
      <c r="F173" s="175" t="s">
        <v>120</v>
      </c>
      <c r="G173" s="175" t="s">
        <v>121</v>
      </c>
      <c r="H173" s="175" t="s">
        <v>512</v>
      </c>
      <c r="I173" s="176">
        <v>76157808</v>
      </c>
      <c r="J173" s="177" t="s">
        <v>48</v>
      </c>
      <c r="K173" s="177" t="s">
        <v>48</v>
      </c>
      <c r="L173" s="178" t="s">
        <v>510</v>
      </c>
      <c r="M173" s="143" t="s">
        <v>50</v>
      </c>
      <c r="N173" s="145" t="s">
        <v>512</v>
      </c>
      <c r="O173" s="146">
        <v>1</v>
      </c>
      <c r="P173" s="146">
        <v>1</v>
      </c>
      <c r="Q173" s="147">
        <v>11</v>
      </c>
      <c r="R173" s="148" t="s">
        <v>51</v>
      </c>
      <c r="S173" s="149" t="s">
        <v>511</v>
      </c>
      <c r="T173" s="150" t="s">
        <v>53</v>
      </c>
      <c r="U173" s="151">
        <f t="shared" si="12"/>
        <v>76157808</v>
      </c>
      <c r="V173" s="152">
        <f t="shared" si="13"/>
        <v>76157808</v>
      </c>
      <c r="W173" s="153" t="s">
        <v>54</v>
      </c>
      <c r="X173" s="153" t="s">
        <v>55</v>
      </c>
      <c r="Y173" s="154" t="s">
        <v>56</v>
      </c>
      <c r="Z173" s="155" t="s">
        <v>57</v>
      </c>
      <c r="AA173" s="156" t="s">
        <v>42</v>
      </c>
      <c r="AB173" s="157" t="s">
        <v>58</v>
      </c>
      <c r="AC173" s="158" t="s">
        <v>59</v>
      </c>
      <c r="AD173" s="153" t="s">
        <v>54</v>
      </c>
      <c r="AE173" s="153" t="s">
        <v>60</v>
      </c>
      <c r="AF173" s="159" t="s">
        <v>61</v>
      </c>
      <c r="AG173" s="159" t="s">
        <v>62</v>
      </c>
      <c r="AH173" s="159" t="s">
        <v>63</v>
      </c>
      <c r="AI173" s="159" t="s">
        <v>64</v>
      </c>
      <c r="AJ173" s="159" t="s">
        <v>64</v>
      </c>
      <c r="AK173" s="197" t="s">
        <v>64</v>
      </c>
      <c r="AL173" s="42"/>
      <c r="AM173" s="42"/>
      <c r="AN173" s="42"/>
      <c r="AO173" s="42"/>
    </row>
    <row r="174" spans="1:41" ht="84.75" customHeight="1" thickBot="1" x14ac:dyDescent="0.25">
      <c r="A174" s="1"/>
      <c r="B174" s="196" t="s">
        <v>42</v>
      </c>
      <c r="C174" s="143">
        <v>1320</v>
      </c>
      <c r="D174" s="143" t="s">
        <v>150</v>
      </c>
      <c r="E174" s="143" t="s">
        <v>44</v>
      </c>
      <c r="F174" s="175" t="s">
        <v>123</v>
      </c>
      <c r="G174" s="175" t="s">
        <v>124</v>
      </c>
      <c r="H174" s="175" t="s">
        <v>513</v>
      </c>
      <c r="I174" s="176">
        <v>4323281996</v>
      </c>
      <c r="J174" s="177" t="s">
        <v>48</v>
      </c>
      <c r="K174" s="177" t="s">
        <v>48</v>
      </c>
      <c r="L174" s="178" t="s">
        <v>231</v>
      </c>
      <c r="M174" s="143">
        <v>92121500</v>
      </c>
      <c r="N174" s="145" t="str">
        <f t="shared" ref="N174:N189" si="20">H174</f>
        <v>Amparar la prestación del servicio de vigilancia y seguridad privada para las personas y bienes muebles e inmuebles de la Universidad Pedagógica Nacional”. según el Acuerdo 030 del 3 de noviembre de 2022, del Consejo Superior - Vigencia futura 2024.</v>
      </c>
      <c r="O174" s="146">
        <v>1</v>
      </c>
      <c r="P174" s="146">
        <v>1</v>
      </c>
      <c r="Q174" s="147">
        <v>11</v>
      </c>
      <c r="R174" s="148" t="s">
        <v>51</v>
      </c>
      <c r="S174" s="149" t="s">
        <v>511</v>
      </c>
      <c r="T174" s="150" t="s">
        <v>53</v>
      </c>
      <c r="U174" s="151">
        <f t="shared" si="12"/>
        <v>4323281996</v>
      </c>
      <c r="V174" s="152">
        <f t="shared" si="13"/>
        <v>4323281996</v>
      </c>
      <c r="W174" s="153" t="s">
        <v>54</v>
      </c>
      <c r="X174" s="153" t="s">
        <v>55</v>
      </c>
      <c r="Y174" s="154" t="s">
        <v>56</v>
      </c>
      <c r="Z174" s="155" t="s">
        <v>57</v>
      </c>
      <c r="AA174" s="156" t="s">
        <v>42</v>
      </c>
      <c r="AB174" s="157" t="s">
        <v>58</v>
      </c>
      <c r="AC174" s="158" t="s">
        <v>59</v>
      </c>
      <c r="AD174" s="153" t="s">
        <v>54</v>
      </c>
      <c r="AE174" s="153" t="s">
        <v>60</v>
      </c>
      <c r="AF174" s="159" t="s">
        <v>61</v>
      </c>
      <c r="AG174" s="159" t="s">
        <v>62</v>
      </c>
      <c r="AH174" s="159" t="s">
        <v>63</v>
      </c>
      <c r="AI174" s="159" t="s">
        <v>64</v>
      </c>
      <c r="AJ174" s="159" t="s">
        <v>64</v>
      </c>
      <c r="AK174" s="197" t="s">
        <v>64</v>
      </c>
    </row>
    <row r="175" spans="1:41" ht="84.75" customHeight="1" thickBot="1" x14ac:dyDescent="0.25">
      <c r="A175" s="1"/>
      <c r="B175" s="196" t="s">
        <v>42</v>
      </c>
      <c r="C175" s="143">
        <v>1320</v>
      </c>
      <c r="D175" s="143" t="s">
        <v>150</v>
      </c>
      <c r="E175" s="143" t="s">
        <v>44</v>
      </c>
      <c r="F175" s="175" t="s">
        <v>123</v>
      </c>
      <c r="G175" s="175" t="s">
        <v>124</v>
      </c>
      <c r="H175" s="175" t="s">
        <v>514</v>
      </c>
      <c r="I175" s="176">
        <v>1957008764</v>
      </c>
      <c r="J175" s="177" t="s">
        <v>48</v>
      </c>
      <c r="K175" s="177" t="s">
        <v>48</v>
      </c>
      <c r="L175" s="178" t="s">
        <v>231</v>
      </c>
      <c r="M175" s="143" t="s">
        <v>50</v>
      </c>
      <c r="N175" s="145" t="str">
        <f t="shared" si="20"/>
        <v>Amparar la prestación del servicio de aseo  de la Universidad Pedagógica Nacional”. según el Acuerdo 030 del 3 de noviembre de 2022, del Consejo Superior - Vigencia futura 2024</v>
      </c>
      <c r="O175" s="146">
        <v>1</v>
      </c>
      <c r="P175" s="146">
        <v>1</v>
      </c>
      <c r="Q175" s="147">
        <v>11</v>
      </c>
      <c r="R175" s="148" t="s">
        <v>51</v>
      </c>
      <c r="S175" s="149" t="s">
        <v>511</v>
      </c>
      <c r="T175" s="150" t="s">
        <v>53</v>
      </c>
      <c r="U175" s="151">
        <f t="shared" si="12"/>
        <v>1957008764</v>
      </c>
      <c r="V175" s="152">
        <f t="shared" si="13"/>
        <v>1957008764</v>
      </c>
      <c r="W175" s="153" t="s">
        <v>54</v>
      </c>
      <c r="X175" s="153" t="s">
        <v>55</v>
      </c>
      <c r="Y175" s="154" t="s">
        <v>56</v>
      </c>
      <c r="Z175" s="155" t="s">
        <v>57</v>
      </c>
      <c r="AA175" s="156" t="s">
        <v>42</v>
      </c>
      <c r="AB175" s="157" t="s">
        <v>58</v>
      </c>
      <c r="AC175" s="158" t="s">
        <v>59</v>
      </c>
      <c r="AD175" s="153" t="s">
        <v>54</v>
      </c>
      <c r="AE175" s="153" t="s">
        <v>60</v>
      </c>
      <c r="AF175" s="159" t="s">
        <v>61</v>
      </c>
      <c r="AG175" s="159" t="s">
        <v>62</v>
      </c>
      <c r="AH175" s="159" t="s">
        <v>63</v>
      </c>
      <c r="AI175" s="159" t="s">
        <v>64</v>
      </c>
      <c r="AJ175" s="159" t="s">
        <v>64</v>
      </c>
      <c r="AK175" s="197" t="s">
        <v>64</v>
      </c>
    </row>
    <row r="176" spans="1:41" s="30" customFormat="1" ht="84.75" customHeight="1" thickBot="1" x14ac:dyDescent="0.25">
      <c r="A176" s="1"/>
      <c r="B176" s="196" t="s">
        <v>42</v>
      </c>
      <c r="C176" s="143">
        <v>1321</v>
      </c>
      <c r="D176" s="143" t="s">
        <v>140</v>
      </c>
      <c r="E176" s="143" t="s">
        <v>141</v>
      </c>
      <c r="F176" s="175" t="s">
        <v>123</v>
      </c>
      <c r="G176" s="175" t="s">
        <v>124</v>
      </c>
      <c r="H176" s="175" t="s">
        <v>515</v>
      </c>
      <c r="I176" s="176">
        <v>7000000</v>
      </c>
      <c r="J176" s="177" t="s">
        <v>60</v>
      </c>
      <c r="K176" s="177" t="s">
        <v>54</v>
      </c>
      <c r="L176" s="178" t="s">
        <v>516</v>
      </c>
      <c r="M176" s="143" t="s">
        <v>517</v>
      </c>
      <c r="N176" s="145" t="str">
        <f t="shared" si="20"/>
        <v>Prestar el servicio para la ejecución de  las autorizaciones técnicas emitidas por la CAR para poda y tala en las instalaciones fuera de Bogotá</v>
      </c>
      <c r="O176" s="146">
        <v>1</v>
      </c>
      <c r="P176" s="146">
        <v>1</v>
      </c>
      <c r="Q176" s="147">
        <v>11</v>
      </c>
      <c r="R176" s="148" t="s">
        <v>51</v>
      </c>
      <c r="S176" s="149" t="s">
        <v>518</v>
      </c>
      <c r="T176" s="150" t="s">
        <v>53</v>
      </c>
      <c r="U176" s="151">
        <f t="shared" si="12"/>
        <v>7000000</v>
      </c>
      <c r="V176" s="152">
        <f t="shared" si="13"/>
        <v>7000000</v>
      </c>
      <c r="W176" s="153" t="s">
        <v>54</v>
      </c>
      <c r="X176" s="153" t="s">
        <v>55</v>
      </c>
      <c r="Y176" s="154" t="s">
        <v>56</v>
      </c>
      <c r="Z176" s="155" t="s">
        <v>57</v>
      </c>
      <c r="AA176" s="156" t="s">
        <v>42</v>
      </c>
      <c r="AB176" s="157" t="s">
        <v>58</v>
      </c>
      <c r="AC176" s="158" t="s">
        <v>59</v>
      </c>
      <c r="AD176" s="153" t="s">
        <v>54</v>
      </c>
      <c r="AE176" s="153" t="s">
        <v>60</v>
      </c>
      <c r="AF176" s="159" t="s">
        <v>61</v>
      </c>
      <c r="AG176" s="159" t="s">
        <v>62</v>
      </c>
      <c r="AH176" s="159" t="s">
        <v>63</v>
      </c>
      <c r="AI176" s="159" t="s">
        <v>64</v>
      </c>
      <c r="AJ176" s="159" t="s">
        <v>64</v>
      </c>
      <c r="AK176" s="197" t="s">
        <v>64</v>
      </c>
      <c r="AL176" s="42"/>
      <c r="AM176" s="42"/>
      <c r="AN176" s="42"/>
      <c r="AO176" s="42"/>
    </row>
    <row r="177" spans="1:41" s="30" customFormat="1" ht="84.75" customHeight="1" thickBot="1" x14ac:dyDescent="0.25">
      <c r="A177" s="1"/>
      <c r="B177" s="196" t="s">
        <v>42</v>
      </c>
      <c r="C177" s="143">
        <v>1321</v>
      </c>
      <c r="D177" s="143" t="s">
        <v>140</v>
      </c>
      <c r="E177" s="143" t="s">
        <v>141</v>
      </c>
      <c r="F177" s="175" t="s">
        <v>126</v>
      </c>
      <c r="G177" s="175" t="s">
        <v>127</v>
      </c>
      <c r="H177" s="175" t="s">
        <v>519</v>
      </c>
      <c r="I177" s="176">
        <v>7000000</v>
      </c>
      <c r="J177" s="177" t="s">
        <v>60</v>
      </c>
      <c r="K177" s="177" t="s">
        <v>48</v>
      </c>
      <c r="L177" s="178" t="s">
        <v>520</v>
      </c>
      <c r="M177" s="143" t="s">
        <v>521</v>
      </c>
      <c r="N177" s="145" t="str">
        <f t="shared" si="20"/>
        <v>Realizar la recolección, transporte y disposición final de los residuos biológicos  generados en las diferentes instalaciones de la UPN</v>
      </c>
      <c r="O177" s="146">
        <v>1</v>
      </c>
      <c r="P177" s="146">
        <v>1</v>
      </c>
      <c r="Q177" s="147">
        <v>11</v>
      </c>
      <c r="R177" s="148" t="s">
        <v>51</v>
      </c>
      <c r="S177" s="149" t="s">
        <v>522</v>
      </c>
      <c r="T177" s="150" t="s">
        <v>53</v>
      </c>
      <c r="U177" s="151">
        <f t="shared" si="12"/>
        <v>7000000</v>
      </c>
      <c r="V177" s="152">
        <f t="shared" si="13"/>
        <v>7000000</v>
      </c>
      <c r="W177" s="153" t="s">
        <v>54</v>
      </c>
      <c r="X177" s="153" t="s">
        <v>55</v>
      </c>
      <c r="Y177" s="154" t="s">
        <v>56</v>
      </c>
      <c r="Z177" s="155" t="s">
        <v>57</v>
      </c>
      <c r="AA177" s="156" t="s">
        <v>42</v>
      </c>
      <c r="AB177" s="157" t="s">
        <v>58</v>
      </c>
      <c r="AC177" s="158" t="s">
        <v>59</v>
      </c>
      <c r="AD177" s="153" t="s">
        <v>54</v>
      </c>
      <c r="AE177" s="153" t="s">
        <v>60</v>
      </c>
      <c r="AF177" s="159" t="s">
        <v>61</v>
      </c>
      <c r="AG177" s="159" t="s">
        <v>62</v>
      </c>
      <c r="AH177" s="159" t="s">
        <v>63</v>
      </c>
      <c r="AI177" s="159" t="s">
        <v>64</v>
      </c>
      <c r="AJ177" s="159" t="s">
        <v>64</v>
      </c>
      <c r="AK177" s="197" t="s">
        <v>64</v>
      </c>
      <c r="AL177" s="42"/>
      <c r="AM177" s="42"/>
      <c r="AN177" s="42"/>
      <c r="AO177" s="42"/>
    </row>
    <row r="178" spans="1:41" ht="84.75" customHeight="1" thickBot="1" x14ac:dyDescent="0.25">
      <c r="A178" s="1"/>
      <c r="B178" s="196" t="s">
        <v>42</v>
      </c>
      <c r="C178" s="143">
        <v>1321</v>
      </c>
      <c r="D178" s="143" t="s">
        <v>140</v>
      </c>
      <c r="E178" s="143" t="s">
        <v>141</v>
      </c>
      <c r="F178" s="175" t="s">
        <v>123</v>
      </c>
      <c r="G178" s="175" t="s">
        <v>124</v>
      </c>
      <c r="H178" s="175" t="s">
        <v>523</v>
      </c>
      <c r="I178" s="176">
        <v>1500000</v>
      </c>
      <c r="J178" s="177" t="s">
        <v>60</v>
      </c>
      <c r="K178" s="177" t="s">
        <v>48</v>
      </c>
      <c r="L178" s="178" t="s">
        <v>524</v>
      </c>
      <c r="M178" s="143" t="s">
        <v>525</v>
      </c>
      <c r="N178" s="145" t="str">
        <f t="shared" si="20"/>
        <v>Prestar el servicio de toma de muestras y análisis para determinación del contenido de PCBs de la subestación ubicada
en las instalaciones de calle 72 de la UPN.</v>
      </c>
      <c r="O178" s="146">
        <v>1</v>
      </c>
      <c r="P178" s="146">
        <v>1</v>
      </c>
      <c r="Q178" s="147">
        <v>11</v>
      </c>
      <c r="R178" s="148" t="s">
        <v>51</v>
      </c>
      <c r="S178" s="149" t="s">
        <v>526</v>
      </c>
      <c r="T178" s="150" t="s">
        <v>53</v>
      </c>
      <c r="U178" s="151">
        <f t="shared" si="12"/>
        <v>1500000</v>
      </c>
      <c r="V178" s="152">
        <f t="shared" si="13"/>
        <v>1500000</v>
      </c>
      <c r="W178" s="153" t="s">
        <v>54</v>
      </c>
      <c r="X178" s="153" t="s">
        <v>55</v>
      </c>
      <c r="Y178" s="154" t="s">
        <v>56</v>
      </c>
      <c r="Z178" s="155" t="s">
        <v>57</v>
      </c>
      <c r="AA178" s="156" t="s">
        <v>42</v>
      </c>
      <c r="AB178" s="157" t="s">
        <v>58</v>
      </c>
      <c r="AC178" s="158" t="s">
        <v>59</v>
      </c>
      <c r="AD178" s="153" t="s">
        <v>54</v>
      </c>
      <c r="AE178" s="153" t="s">
        <v>60</v>
      </c>
      <c r="AF178" s="159" t="s">
        <v>61</v>
      </c>
      <c r="AG178" s="159" t="s">
        <v>62</v>
      </c>
      <c r="AH178" s="159" t="s">
        <v>63</v>
      </c>
      <c r="AI178" s="159" t="s">
        <v>64</v>
      </c>
      <c r="AJ178" s="159" t="s">
        <v>64</v>
      </c>
      <c r="AK178" s="197" t="s">
        <v>64</v>
      </c>
    </row>
    <row r="179" spans="1:41" ht="84.75" customHeight="1" thickBot="1" x14ac:dyDescent="0.25">
      <c r="A179" s="1"/>
      <c r="B179" s="196" t="s">
        <v>42</v>
      </c>
      <c r="C179" s="143">
        <v>1321</v>
      </c>
      <c r="D179" s="143" t="s">
        <v>140</v>
      </c>
      <c r="E179" s="143" t="s">
        <v>141</v>
      </c>
      <c r="F179" s="175" t="s">
        <v>138</v>
      </c>
      <c r="G179" s="175" t="s">
        <v>139</v>
      </c>
      <c r="H179" s="175" t="s">
        <v>527</v>
      </c>
      <c r="I179" s="176">
        <v>16000000</v>
      </c>
      <c r="J179" s="177" t="s">
        <v>48</v>
      </c>
      <c r="K179" s="177" t="s">
        <v>54</v>
      </c>
      <c r="L179" s="178" t="s">
        <v>143</v>
      </c>
      <c r="M179" s="143" t="s">
        <v>50</v>
      </c>
      <c r="N179" s="145" t="str">
        <f t="shared" si="20"/>
        <v>Pago de sanciones generadas por acto administrativo por la Secretaría de Salud, Secretaría de Ambiente y demás autoridades.</v>
      </c>
      <c r="O179" s="146">
        <v>1</v>
      </c>
      <c r="P179" s="146">
        <v>1</v>
      </c>
      <c r="Q179" s="147">
        <v>11</v>
      </c>
      <c r="R179" s="148" t="s">
        <v>51</v>
      </c>
      <c r="S179" s="149" t="s">
        <v>528</v>
      </c>
      <c r="T179" s="150" t="s">
        <v>53</v>
      </c>
      <c r="U179" s="151">
        <f t="shared" si="12"/>
        <v>16000000</v>
      </c>
      <c r="V179" s="152">
        <f t="shared" si="13"/>
        <v>16000000</v>
      </c>
      <c r="W179" s="153" t="s">
        <v>54</v>
      </c>
      <c r="X179" s="153" t="s">
        <v>55</v>
      </c>
      <c r="Y179" s="154" t="s">
        <v>56</v>
      </c>
      <c r="Z179" s="155" t="s">
        <v>57</v>
      </c>
      <c r="AA179" s="156" t="s">
        <v>42</v>
      </c>
      <c r="AB179" s="157" t="s">
        <v>58</v>
      </c>
      <c r="AC179" s="158" t="s">
        <v>59</v>
      </c>
      <c r="AD179" s="153" t="s">
        <v>54</v>
      </c>
      <c r="AE179" s="153" t="s">
        <v>60</v>
      </c>
      <c r="AF179" s="159" t="s">
        <v>61</v>
      </c>
      <c r="AG179" s="159" t="s">
        <v>62</v>
      </c>
      <c r="AH179" s="159" t="s">
        <v>63</v>
      </c>
      <c r="AI179" s="159" t="s">
        <v>64</v>
      </c>
      <c r="AJ179" s="159" t="s">
        <v>64</v>
      </c>
      <c r="AK179" s="197" t="s">
        <v>64</v>
      </c>
    </row>
    <row r="180" spans="1:41" ht="84.75" customHeight="1" thickBot="1" x14ac:dyDescent="0.25">
      <c r="A180" s="1"/>
      <c r="B180" s="196" t="s">
        <v>42</v>
      </c>
      <c r="C180" s="143">
        <v>1321</v>
      </c>
      <c r="D180" s="143" t="s">
        <v>140</v>
      </c>
      <c r="E180" s="143" t="s">
        <v>141</v>
      </c>
      <c r="F180" s="175" t="s">
        <v>529</v>
      </c>
      <c r="G180" s="175" t="s">
        <v>530</v>
      </c>
      <c r="H180" s="175" t="s">
        <v>531</v>
      </c>
      <c r="I180" s="176">
        <v>4000000</v>
      </c>
      <c r="J180" s="177" t="s">
        <v>48</v>
      </c>
      <c r="K180" s="177" t="s">
        <v>54</v>
      </c>
      <c r="L180" s="178" t="s">
        <v>143</v>
      </c>
      <c r="M180" s="143" t="s">
        <v>50</v>
      </c>
      <c r="N180" s="145" t="str">
        <f t="shared" si="20"/>
        <v>Realizar el pago de los intereses de mora a la Secretaria Distrital De Salud</v>
      </c>
      <c r="O180" s="146">
        <v>1</v>
      </c>
      <c r="P180" s="146">
        <v>1</v>
      </c>
      <c r="Q180" s="147">
        <v>11</v>
      </c>
      <c r="R180" s="148" t="s">
        <v>51</v>
      </c>
      <c r="S180" s="149" t="s">
        <v>532</v>
      </c>
      <c r="T180" s="150" t="s">
        <v>53</v>
      </c>
      <c r="U180" s="151">
        <f t="shared" si="12"/>
        <v>4000000</v>
      </c>
      <c r="V180" s="152">
        <f t="shared" si="13"/>
        <v>4000000</v>
      </c>
      <c r="W180" s="153" t="s">
        <v>54</v>
      </c>
      <c r="X180" s="153" t="s">
        <v>55</v>
      </c>
      <c r="Y180" s="154" t="s">
        <v>56</v>
      </c>
      <c r="Z180" s="155" t="s">
        <v>57</v>
      </c>
      <c r="AA180" s="156" t="s">
        <v>42</v>
      </c>
      <c r="AB180" s="157" t="s">
        <v>58</v>
      </c>
      <c r="AC180" s="158" t="s">
        <v>59</v>
      </c>
      <c r="AD180" s="153" t="s">
        <v>54</v>
      </c>
      <c r="AE180" s="153" t="s">
        <v>60</v>
      </c>
      <c r="AF180" s="159" t="s">
        <v>61</v>
      </c>
      <c r="AG180" s="159" t="s">
        <v>62</v>
      </c>
      <c r="AH180" s="159" t="s">
        <v>63</v>
      </c>
      <c r="AI180" s="159" t="s">
        <v>64</v>
      </c>
      <c r="AJ180" s="159" t="s">
        <v>64</v>
      </c>
      <c r="AK180" s="197" t="s">
        <v>64</v>
      </c>
    </row>
    <row r="181" spans="1:41" ht="84.75" customHeight="1" thickBot="1" x14ac:dyDescent="0.25">
      <c r="A181" s="1"/>
      <c r="B181" s="196" t="s">
        <v>42</v>
      </c>
      <c r="C181" s="143">
        <v>1321</v>
      </c>
      <c r="D181" s="143" t="s">
        <v>140</v>
      </c>
      <c r="E181" s="143" t="s">
        <v>141</v>
      </c>
      <c r="F181" s="175" t="s">
        <v>123</v>
      </c>
      <c r="G181" s="175" t="s">
        <v>124</v>
      </c>
      <c r="H181" s="175" t="s">
        <v>533</v>
      </c>
      <c r="I181" s="176">
        <v>61500000</v>
      </c>
      <c r="J181" s="177" t="s">
        <v>60</v>
      </c>
      <c r="K181" s="177" t="s">
        <v>48</v>
      </c>
      <c r="L181" s="178" t="s">
        <v>534</v>
      </c>
      <c r="M181" s="143" t="s">
        <v>535</v>
      </c>
      <c r="N181" s="145" t="str">
        <f t="shared" si="20"/>
        <v xml:space="preserve">
Prestar el servicio de ejecución de Planes de poda de las instalaciones de Calle 72 ciclo 3 y ciclo 4; Valmaria; Nogal;  IPN de acuerdo con el concepto técnico de la SDA.	</v>
      </c>
      <c r="O181" s="146">
        <v>1</v>
      </c>
      <c r="P181" s="146">
        <v>1</v>
      </c>
      <c r="Q181" s="147">
        <v>11</v>
      </c>
      <c r="R181" s="148" t="s">
        <v>51</v>
      </c>
      <c r="S181" s="149" t="s">
        <v>536</v>
      </c>
      <c r="T181" s="150" t="s">
        <v>53</v>
      </c>
      <c r="U181" s="151">
        <f t="shared" si="12"/>
        <v>61500000</v>
      </c>
      <c r="V181" s="152">
        <f t="shared" si="13"/>
        <v>61500000</v>
      </c>
      <c r="W181" s="153" t="s">
        <v>54</v>
      </c>
      <c r="X181" s="153" t="s">
        <v>55</v>
      </c>
      <c r="Y181" s="154" t="s">
        <v>56</v>
      </c>
      <c r="Z181" s="155" t="s">
        <v>57</v>
      </c>
      <c r="AA181" s="156" t="s">
        <v>42</v>
      </c>
      <c r="AB181" s="157" t="s">
        <v>58</v>
      </c>
      <c r="AC181" s="158" t="s">
        <v>59</v>
      </c>
      <c r="AD181" s="153" t="s">
        <v>54</v>
      </c>
      <c r="AE181" s="153" t="s">
        <v>60</v>
      </c>
      <c r="AF181" s="159" t="s">
        <v>61</v>
      </c>
      <c r="AG181" s="159" t="s">
        <v>62</v>
      </c>
      <c r="AH181" s="159" t="s">
        <v>63</v>
      </c>
      <c r="AI181" s="159" t="s">
        <v>64</v>
      </c>
      <c r="AJ181" s="159" t="s">
        <v>64</v>
      </c>
      <c r="AK181" s="197" t="s">
        <v>64</v>
      </c>
    </row>
    <row r="182" spans="1:41" s="8" customFormat="1" ht="84.75" customHeight="1" thickBot="1" x14ac:dyDescent="0.25">
      <c r="A182" s="1"/>
      <c r="B182" s="196" t="s">
        <v>42</v>
      </c>
      <c r="C182" s="143">
        <v>1321</v>
      </c>
      <c r="D182" s="143" t="s">
        <v>140</v>
      </c>
      <c r="E182" s="143" t="s">
        <v>141</v>
      </c>
      <c r="F182" s="175" t="s">
        <v>111</v>
      </c>
      <c r="G182" s="175" t="s">
        <v>112</v>
      </c>
      <c r="H182" s="175" t="s">
        <v>537</v>
      </c>
      <c r="I182" s="176">
        <v>1800000</v>
      </c>
      <c r="J182" s="177" t="s">
        <v>48</v>
      </c>
      <c r="K182" s="177" t="s">
        <v>48</v>
      </c>
      <c r="L182" s="178" t="s">
        <v>538</v>
      </c>
      <c r="M182" s="143" t="s">
        <v>539</v>
      </c>
      <c r="N182" s="145" t="str">
        <f t="shared" si="20"/>
        <v>Adquirir avisos, pendones, e insumos publicitarios que se requieren para cubrir las necesidades de gestión ambiental</v>
      </c>
      <c r="O182" s="146">
        <v>1</v>
      </c>
      <c r="P182" s="146">
        <v>1</v>
      </c>
      <c r="Q182" s="147">
        <v>11</v>
      </c>
      <c r="R182" s="148" t="s">
        <v>51</v>
      </c>
      <c r="S182" s="149" t="s">
        <v>540</v>
      </c>
      <c r="T182" s="150" t="s">
        <v>53</v>
      </c>
      <c r="U182" s="151">
        <f t="shared" si="12"/>
        <v>1800000</v>
      </c>
      <c r="V182" s="152">
        <f t="shared" si="13"/>
        <v>1800000</v>
      </c>
      <c r="W182" s="153" t="s">
        <v>54</v>
      </c>
      <c r="X182" s="153" t="s">
        <v>55</v>
      </c>
      <c r="Y182" s="154" t="s">
        <v>56</v>
      </c>
      <c r="Z182" s="155" t="s">
        <v>57</v>
      </c>
      <c r="AA182" s="156" t="s">
        <v>42</v>
      </c>
      <c r="AB182" s="157" t="s">
        <v>58</v>
      </c>
      <c r="AC182" s="158" t="s">
        <v>59</v>
      </c>
      <c r="AD182" s="153" t="s">
        <v>54</v>
      </c>
      <c r="AE182" s="153" t="s">
        <v>60</v>
      </c>
      <c r="AF182" s="159" t="s">
        <v>61</v>
      </c>
      <c r="AG182" s="159" t="s">
        <v>62</v>
      </c>
      <c r="AH182" s="159" t="s">
        <v>63</v>
      </c>
      <c r="AI182" s="159" t="s">
        <v>64</v>
      </c>
      <c r="AJ182" s="159" t="s">
        <v>64</v>
      </c>
      <c r="AK182" s="197" t="s">
        <v>64</v>
      </c>
      <c r="AL182" s="42"/>
      <c r="AM182" s="42"/>
      <c r="AN182" s="42"/>
      <c r="AO182" s="42"/>
    </row>
    <row r="183" spans="1:41" s="8" customFormat="1" ht="84.75" customHeight="1" thickBot="1" x14ac:dyDescent="0.25">
      <c r="A183" s="1"/>
      <c r="B183" s="196" t="s">
        <v>42</v>
      </c>
      <c r="C183" s="143">
        <v>1321</v>
      </c>
      <c r="D183" s="143" t="s">
        <v>140</v>
      </c>
      <c r="E183" s="143" t="s">
        <v>141</v>
      </c>
      <c r="F183" s="175" t="s">
        <v>123</v>
      </c>
      <c r="G183" s="175" t="s">
        <v>124</v>
      </c>
      <c r="H183" s="175" t="s">
        <v>541</v>
      </c>
      <c r="I183" s="176">
        <v>24200000</v>
      </c>
      <c r="J183" s="177" t="s">
        <v>60</v>
      </c>
      <c r="K183" s="177" t="s">
        <v>48</v>
      </c>
      <c r="L183" s="178" t="s">
        <v>542</v>
      </c>
      <c r="M183" s="143" t="s">
        <v>535</v>
      </c>
      <c r="N183" s="145" t="str">
        <f t="shared" si="20"/>
        <v>Prestar el servicio de caracterización de vertimientos de los laboratorios de biotecnología, bioclínico, biología, química, y odontología de calle 72 y laboratorios del IPN.</v>
      </c>
      <c r="O183" s="146">
        <v>1</v>
      </c>
      <c r="P183" s="146">
        <v>1</v>
      </c>
      <c r="Q183" s="147">
        <v>11</v>
      </c>
      <c r="R183" s="148" t="s">
        <v>51</v>
      </c>
      <c r="S183" s="149" t="s">
        <v>543</v>
      </c>
      <c r="T183" s="150" t="s">
        <v>53</v>
      </c>
      <c r="U183" s="151">
        <f t="shared" si="12"/>
        <v>24200000</v>
      </c>
      <c r="V183" s="152">
        <f t="shared" si="13"/>
        <v>24200000</v>
      </c>
      <c r="W183" s="153" t="s">
        <v>54</v>
      </c>
      <c r="X183" s="153" t="s">
        <v>55</v>
      </c>
      <c r="Y183" s="154" t="s">
        <v>56</v>
      </c>
      <c r="Z183" s="155" t="s">
        <v>57</v>
      </c>
      <c r="AA183" s="156" t="s">
        <v>42</v>
      </c>
      <c r="AB183" s="157" t="s">
        <v>58</v>
      </c>
      <c r="AC183" s="158" t="s">
        <v>59</v>
      </c>
      <c r="AD183" s="153" t="s">
        <v>54</v>
      </c>
      <c r="AE183" s="153" t="s">
        <v>60</v>
      </c>
      <c r="AF183" s="159" t="s">
        <v>61</v>
      </c>
      <c r="AG183" s="159" t="s">
        <v>62</v>
      </c>
      <c r="AH183" s="159" t="s">
        <v>63</v>
      </c>
      <c r="AI183" s="159" t="s">
        <v>64</v>
      </c>
      <c r="AJ183" s="159" t="s">
        <v>64</v>
      </c>
      <c r="AK183" s="197" t="s">
        <v>64</v>
      </c>
      <c r="AL183" s="42"/>
      <c r="AM183" s="42"/>
      <c r="AN183" s="42"/>
      <c r="AO183" s="42"/>
    </row>
    <row r="184" spans="1:41" s="30" customFormat="1" ht="84.75" customHeight="1" thickBot="1" x14ac:dyDescent="0.25">
      <c r="A184" s="1"/>
      <c r="B184" s="196" t="s">
        <v>42</v>
      </c>
      <c r="C184" s="143">
        <v>1321</v>
      </c>
      <c r="D184" s="143" t="s">
        <v>140</v>
      </c>
      <c r="E184" s="143" t="s">
        <v>141</v>
      </c>
      <c r="F184" s="175" t="s">
        <v>123</v>
      </c>
      <c r="G184" s="175" t="s">
        <v>124</v>
      </c>
      <c r="H184" s="175" t="s">
        <v>544</v>
      </c>
      <c r="I184" s="176">
        <v>0</v>
      </c>
      <c r="J184" s="177" t="s">
        <v>60</v>
      </c>
      <c r="K184" s="177" t="s">
        <v>48</v>
      </c>
      <c r="L184" s="178" t="s">
        <v>545</v>
      </c>
      <c r="M184" s="143" t="s">
        <v>535</v>
      </c>
      <c r="N184" s="145" t="str">
        <f t="shared" si="20"/>
        <v xml:space="preserve">Prestar el servicio de caracterización  de vertimientos  de los laboratorios de IPN
</v>
      </c>
      <c r="O184" s="146">
        <v>1</v>
      </c>
      <c r="P184" s="146">
        <v>1</v>
      </c>
      <c r="Q184" s="147">
        <v>11</v>
      </c>
      <c r="R184" s="148" t="s">
        <v>51</v>
      </c>
      <c r="S184" s="149" t="s">
        <v>546</v>
      </c>
      <c r="T184" s="150" t="s">
        <v>53</v>
      </c>
      <c r="U184" s="151">
        <f t="shared" si="12"/>
        <v>0</v>
      </c>
      <c r="V184" s="152">
        <f t="shared" si="13"/>
        <v>0</v>
      </c>
      <c r="W184" s="153" t="s">
        <v>54</v>
      </c>
      <c r="X184" s="153" t="s">
        <v>55</v>
      </c>
      <c r="Y184" s="154" t="s">
        <v>56</v>
      </c>
      <c r="Z184" s="155" t="s">
        <v>57</v>
      </c>
      <c r="AA184" s="156" t="s">
        <v>42</v>
      </c>
      <c r="AB184" s="157" t="s">
        <v>58</v>
      </c>
      <c r="AC184" s="158" t="s">
        <v>59</v>
      </c>
      <c r="AD184" s="153" t="s">
        <v>54</v>
      </c>
      <c r="AE184" s="153" t="s">
        <v>60</v>
      </c>
      <c r="AF184" s="159" t="s">
        <v>61</v>
      </c>
      <c r="AG184" s="159" t="s">
        <v>62</v>
      </c>
      <c r="AH184" s="159" t="s">
        <v>63</v>
      </c>
      <c r="AI184" s="159" t="s">
        <v>64</v>
      </c>
      <c r="AJ184" s="159" t="s">
        <v>64</v>
      </c>
      <c r="AK184" s="197" t="s">
        <v>64</v>
      </c>
      <c r="AL184" s="42"/>
      <c r="AM184" s="42"/>
      <c r="AN184" s="42"/>
      <c r="AO184" s="42"/>
    </row>
    <row r="185" spans="1:41" ht="84.75" customHeight="1" thickBot="1" x14ac:dyDescent="0.25">
      <c r="A185" s="1"/>
      <c r="B185" s="196" t="s">
        <v>42</v>
      </c>
      <c r="C185" s="143">
        <v>1321</v>
      </c>
      <c r="D185" s="143" t="s">
        <v>140</v>
      </c>
      <c r="E185" s="143" t="s">
        <v>141</v>
      </c>
      <c r="F185" s="175" t="s">
        <v>123</v>
      </c>
      <c r="G185" s="175" t="s">
        <v>124</v>
      </c>
      <c r="H185" s="175" t="s">
        <v>547</v>
      </c>
      <c r="I185" s="176">
        <v>16000000</v>
      </c>
      <c r="J185" s="177" t="s">
        <v>60</v>
      </c>
      <c r="K185" s="177" t="s">
        <v>54</v>
      </c>
      <c r="L185" s="178" t="s">
        <v>548</v>
      </c>
      <c r="M185" s="143" t="s">
        <v>535</v>
      </c>
      <c r="N185" s="145" t="str">
        <f t="shared" si="20"/>
        <v xml:space="preserve">Prestar el servicio de ejecución del mantenimiento de  los árboles sembrados por compensación en las diferentes instalaciones del UPN </v>
      </c>
      <c r="O185" s="146">
        <v>1</v>
      </c>
      <c r="P185" s="146">
        <v>1</v>
      </c>
      <c r="Q185" s="147">
        <v>11</v>
      </c>
      <c r="R185" s="148" t="s">
        <v>51</v>
      </c>
      <c r="S185" s="149" t="s">
        <v>549</v>
      </c>
      <c r="T185" s="150" t="s">
        <v>53</v>
      </c>
      <c r="U185" s="151">
        <f t="shared" si="12"/>
        <v>16000000</v>
      </c>
      <c r="V185" s="152">
        <f t="shared" si="13"/>
        <v>16000000</v>
      </c>
      <c r="W185" s="153" t="s">
        <v>54</v>
      </c>
      <c r="X185" s="153" t="s">
        <v>55</v>
      </c>
      <c r="Y185" s="154" t="s">
        <v>56</v>
      </c>
      <c r="Z185" s="155" t="s">
        <v>57</v>
      </c>
      <c r="AA185" s="156" t="s">
        <v>42</v>
      </c>
      <c r="AB185" s="157" t="s">
        <v>58</v>
      </c>
      <c r="AC185" s="158" t="s">
        <v>59</v>
      </c>
      <c r="AD185" s="153" t="s">
        <v>54</v>
      </c>
      <c r="AE185" s="153" t="s">
        <v>60</v>
      </c>
      <c r="AF185" s="159" t="s">
        <v>61</v>
      </c>
      <c r="AG185" s="159" t="s">
        <v>62</v>
      </c>
      <c r="AH185" s="159" t="s">
        <v>63</v>
      </c>
      <c r="AI185" s="159" t="s">
        <v>64</v>
      </c>
      <c r="AJ185" s="159" t="s">
        <v>64</v>
      </c>
      <c r="AK185" s="197" t="s">
        <v>64</v>
      </c>
    </row>
    <row r="186" spans="1:41" ht="84.75" customHeight="1" thickBot="1" x14ac:dyDescent="0.25">
      <c r="A186" s="1"/>
      <c r="B186" s="196" t="s">
        <v>42</v>
      </c>
      <c r="C186" s="143">
        <v>1321</v>
      </c>
      <c r="D186" s="143" t="s">
        <v>140</v>
      </c>
      <c r="E186" s="143" t="s">
        <v>141</v>
      </c>
      <c r="F186" s="175" t="s">
        <v>123</v>
      </c>
      <c r="G186" s="175" t="s">
        <v>124</v>
      </c>
      <c r="H186" s="175" t="s">
        <v>550</v>
      </c>
      <c r="I186" s="176">
        <v>5000000</v>
      </c>
      <c r="J186" s="177" t="s">
        <v>60</v>
      </c>
      <c r="K186" s="177" t="s">
        <v>48</v>
      </c>
      <c r="L186" s="178" t="s">
        <v>551</v>
      </c>
      <c r="M186" s="143" t="s">
        <v>552</v>
      </c>
      <c r="N186" s="145" t="str">
        <f t="shared" si="20"/>
        <v>Prestar el servicio de la calibración de basculas de pesaje de residuos en las diferentes instalaciones</v>
      </c>
      <c r="O186" s="146">
        <v>1</v>
      </c>
      <c r="P186" s="146">
        <v>1</v>
      </c>
      <c r="Q186" s="147">
        <v>11</v>
      </c>
      <c r="R186" s="148" t="s">
        <v>51</v>
      </c>
      <c r="S186" s="149" t="s">
        <v>553</v>
      </c>
      <c r="T186" s="150" t="s">
        <v>53</v>
      </c>
      <c r="U186" s="151">
        <f t="shared" si="12"/>
        <v>5000000</v>
      </c>
      <c r="V186" s="152">
        <f t="shared" si="13"/>
        <v>5000000</v>
      </c>
      <c r="W186" s="153" t="s">
        <v>54</v>
      </c>
      <c r="X186" s="153" t="s">
        <v>55</v>
      </c>
      <c r="Y186" s="154" t="s">
        <v>56</v>
      </c>
      <c r="Z186" s="155" t="s">
        <v>57</v>
      </c>
      <c r="AA186" s="156" t="s">
        <v>42</v>
      </c>
      <c r="AB186" s="157" t="s">
        <v>58</v>
      </c>
      <c r="AC186" s="158" t="s">
        <v>59</v>
      </c>
      <c r="AD186" s="153" t="s">
        <v>54</v>
      </c>
      <c r="AE186" s="153" t="s">
        <v>60</v>
      </c>
      <c r="AF186" s="159" t="s">
        <v>61</v>
      </c>
      <c r="AG186" s="159" t="s">
        <v>62</v>
      </c>
      <c r="AH186" s="159" t="s">
        <v>63</v>
      </c>
      <c r="AI186" s="159" t="s">
        <v>64</v>
      </c>
      <c r="AJ186" s="159" t="s">
        <v>64</v>
      </c>
      <c r="AK186" s="197" t="s">
        <v>64</v>
      </c>
    </row>
    <row r="187" spans="1:41" ht="84.75" customHeight="1" thickBot="1" x14ac:dyDescent="0.25">
      <c r="A187" s="1"/>
      <c r="B187" s="196" t="s">
        <v>240</v>
      </c>
      <c r="C187" s="143">
        <v>1322</v>
      </c>
      <c r="D187" s="143" t="s">
        <v>554</v>
      </c>
      <c r="E187" s="143" t="s">
        <v>242</v>
      </c>
      <c r="F187" s="175" t="s">
        <v>123</v>
      </c>
      <c r="G187" s="175" t="s">
        <v>124</v>
      </c>
      <c r="H187" s="175" t="s">
        <v>555</v>
      </c>
      <c r="I187" s="176">
        <v>96074160</v>
      </c>
      <c r="J187" s="177" t="s">
        <v>60</v>
      </c>
      <c r="K187" s="177" t="s">
        <v>54</v>
      </c>
      <c r="L187" s="178" t="s">
        <v>556</v>
      </c>
      <c r="M187" s="143">
        <v>82101500</v>
      </c>
      <c r="N187" s="145" t="str">
        <f t="shared" si="20"/>
        <v>Prestar el servicio  de elaboración e impresión de los insumos que se requieren para cubrir las necesidades de la Subdirección de Admisiones y Registro de la Universidad Pedagógica Nacional.</v>
      </c>
      <c r="O187" s="146">
        <v>1</v>
      </c>
      <c r="P187" s="146">
        <v>1</v>
      </c>
      <c r="Q187" s="147">
        <v>11</v>
      </c>
      <c r="R187" s="148" t="s">
        <v>51</v>
      </c>
      <c r="S187" s="149" t="s">
        <v>557</v>
      </c>
      <c r="T187" s="150" t="s">
        <v>53</v>
      </c>
      <c r="U187" s="151">
        <f t="shared" si="12"/>
        <v>96074160</v>
      </c>
      <c r="V187" s="152">
        <f t="shared" si="13"/>
        <v>96074160</v>
      </c>
      <c r="W187" s="153" t="s">
        <v>54</v>
      </c>
      <c r="X187" s="153" t="s">
        <v>55</v>
      </c>
      <c r="Y187" s="154" t="s">
        <v>56</v>
      </c>
      <c r="Z187" s="155" t="s">
        <v>57</v>
      </c>
      <c r="AA187" s="156" t="s">
        <v>240</v>
      </c>
      <c r="AB187" s="157" t="s">
        <v>58</v>
      </c>
      <c r="AC187" s="158" t="s">
        <v>59</v>
      </c>
      <c r="AD187" s="153" t="s">
        <v>54</v>
      </c>
      <c r="AE187" s="153" t="s">
        <v>60</v>
      </c>
      <c r="AF187" s="159" t="s">
        <v>61</v>
      </c>
      <c r="AG187" s="159" t="s">
        <v>62</v>
      </c>
      <c r="AH187" s="159" t="s">
        <v>63</v>
      </c>
      <c r="AI187" s="159" t="s">
        <v>64</v>
      </c>
      <c r="AJ187" s="159" t="s">
        <v>64</v>
      </c>
      <c r="AK187" s="197" t="s">
        <v>64</v>
      </c>
    </row>
    <row r="188" spans="1:41" ht="84.75" customHeight="1" thickBot="1" x14ac:dyDescent="0.25">
      <c r="A188" s="1"/>
      <c r="B188" s="196" t="s">
        <v>240</v>
      </c>
      <c r="C188" s="143">
        <v>1322</v>
      </c>
      <c r="D188" s="143" t="s">
        <v>554</v>
      </c>
      <c r="E188" s="143" t="s">
        <v>242</v>
      </c>
      <c r="F188" s="175" t="s">
        <v>111</v>
      </c>
      <c r="G188" s="175" t="s">
        <v>112</v>
      </c>
      <c r="H188" s="175" t="s">
        <v>558</v>
      </c>
      <c r="I188" s="176">
        <v>75369840</v>
      </c>
      <c r="J188" s="177" t="s">
        <v>60</v>
      </c>
      <c r="K188" s="177" t="s">
        <v>48</v>
      </c>
      <c r="L188" s="178" t="s">
        <v>559</v>
      </c>
      <c r="M188" s="143">
        <v>55121800</v>
      </c>
      <c r="N188" s="145" t="str">
        <f t="shared" si="20"/>
        <v>Adquirir carnés para la comunidad universitaria, atendiendo los requerimientos establecidos por la UPN</v>
      </c>
      <c r="O188" s="146">
        <v>1</v>
      </c>
      <c r="P188" s="146">
        <v>1</v>
      </c>
      <c r="Q188" s="147">
        <v>11</v>
      </c>
      <c r="R188" s="148" t="s">
        <v>51</v>
      </c>
      <c r="S188" s="149" t="s">
        <v>560</v>
      </c>
      <c r="T188" s="150" t="s">
        <v>53</v>
      </c>
      <c r="U188" s="151">
        <f t="shared" si="12"/>
        <v>75369840</v>
      </c>
      <c r="V188" s="152">
        <f t="shared" si="13"/>
        <v>75369840</v>
      </c>
      <c r="W188" s="153" t="s">
        <v>54</v>
      </c>
      <c r="X188" s="153" t="s">
        <v>55</v>
      </c>
      <c r="Y188" s="154" t="s">
        <v>56</v>
      </c>
      <c r="Z188" s="155" t="s">
        <v>57</v>
      </c>
      <c r="AA188" s="156" t="s">
        <v>240</v>
      </c>
      <c r="AB188" s="157" t="s">
        <v>58</v>
      </c>
      <c r="AC188" s="158" t="s">
        <v>59</v>
      </c>
      <c r="AD188" s="153" t="s">
        <v>54</v>
      </c>
      <c r="AE188" s="153" t="s">
        <v>60</v>
      </c>
      <c r="AF188" s="159" t="s">
        <v>61</v>
      </c>
      <c r="AG188" s="159" t="s">
        <v>62</v>
      </c>
      <c r="AH188" s="159" t="s">
        <v>63</v>
      </c>
      <c r="AI188" s="159" t="s">
        <v>64</v>
      </c>
      <c r="AJ188" s="159" t="s">
        <v>64</v>
      </c>
      <c r="AK188" s="197" t="s">
        <v>64</v>
      </c>
    </row>
    <row r="189" spans="1:41" s="18" customFormat="1" ht="84.75" customHeight="1" thickBot="1" x14ac:dyDescent="0.25">
      <c r="A189" s="1"/>
      <c r="B189" s="196" t="s">
        <v>293</v>
      </c>
      <c r="C189" s="143">
        <v>1324</v>
      </c>
      <c r="D189" s="143" t="s">
        <v>294</v>
      </c>
      <c r="E189" s="143" t="s">
        <v>295</v>
      </c>
      <c r="F189" s="175" t="s">
        <v>126</v>
      </c>
      <c r="G189" s="175" t="s">
        <v>127</v>
      </c>
      <c r="H189" s="175" t="s">
        <v>561</v>
      </c>
      <c r="I189" s="176">
        <v>2500000</v>
      </c>
      <c r="J189" s="177" t="s">
        <v>48</v>
      </c>
      <c r="K189" s="177" t="s">
        <v>48</v>
      </c>
      <c r="L189" s="178" t="s">
        <v>562</v>
      </c>
      <c r="M189" s="143" t="s">
        <v>563</v>
      </c>
      <c r="N189" s="237" t="str">
        <f t="shared" si="20"/>
        <v>Prestar el servicio logístico para el evento cultural Encuentro General de Egresados - Actividades artísticas, de entretenimiento y recreación</v>
      </c>
      <c r="O189" s="146">
        <v>4</v>
      </c>
      <c r="P189" s="146">
        <v>8</v>
      </c>
      <c r="Q189" s="147">
        <v>11</v>
      </c>
      <c r="R189" s="148" t="s">
        <v>51</v>
      </c>
      <c r="S189" s="149" t="s">
        <v>564</v>
      </c>
      <c r="T189" s="150" t="s">
        <v>53</v>
      </c>
      <c r="U189" s="151">
        <f t="shared" si="12"/>
        <v>2500000</v>
      </c>
      <c r="V189" s="152">
        <f t="shared" si="13"/>
        <v>2500000</v>
      </c>
      <c r="W189" s="153" t="s">
        <v>54</v>
      </c>
      <c r="X189" s="153" t="s">
        <v>55</v>
      </c>
      <c r="Y189" s="154" t="s">
        <v>56</v>
      </c>
      <c r="Z189" s="155" t="s">
        <v>57</v>
      </c>
      <c r="AA189" s="156" t="s">
        <v>293</v>
      </c>
      <c r="AB189" s="157" t="s">
        <v>58</v>
      </c>
      <c r="AC189" s="158" t="s">
        <v>59</v>
      </c>
      <c r="AD189" s="153" t="s">
        <v>54</v>
      </c>
      <c r="AE189" s="153" t="s">
        <v>60</v>
      </c>
      <c r="AF189" s="159" t="s">
        <v>61</v>
      </c>
      <c r="AG189" s="159" t="s">
        <v>62</v>
      </c>
      <c r="AH189" s="159" t="s">
        <v>63</v>
      </c>
      <c r="AI189" s="159" t="s">
        <v>64</v>
      </c>
      <c r="AJ189" s="159" t="s">
        <v>64</v>
      </c>
      <c r="AK189" s="197" t="s">
        <v>64</v>
      </c>
      <c r="AL189" s="29"/>
      <c r="AM189" s="29"/>
      <c r="AN189" s="29"/>
      <c r="AO189" s="29"/>
    </row>
    <row r="190" spans="1:41" s="18" customFormat="1" ht="84.75" customHeight="1" thickBot="1" x14ac:dyDescent="0.25">
      <c r="A190" s="1"/>
      <c r="B190" s="196" t="s">
        <v>293</v>
      </c>
      <c r="C190" s="143">
        <v>1324</v>
      </c>
      <c r="D190" s="143" t="s">
        <v>294</v>
      </c>
      <c r="E190" s="143" t="s">
        <v>295</v>
      </c>
      <c r="F190" s="175" t="s">
        <v>123</v>
      </c>
      <c r="G190" s="175" t="s">
        <v>124</v>
      </c>
      <c r="H190" s="175" t="s">
        <v>561</v>
      </c>
      <c r="I190" s="176">
        <f>2000000-2000000</f>
        <v>0</v>
      </c>
      <c r="J190" s="177" t="s">
        <v>60</v>
      </c>
      <c r="K190" s="177" t="s">
        <v>48</v>
      </c>
      <c r="L190" s="178" t="s">
        <v>562</v>
      </c>
      <c r="M190" s="143" t="s">
        <v>563</v>
      </c>
      <c r="N190" s="237"/>
      <c r="O190" s="146">
        <v>4</v>
      </c>
      <c r="P190" s="146">
        <v>8</v>
      </c>
      <c r="Q190" s="147">
        <v>11</v>
      </c>
      <c r="R190" s="148" t="s">
        <v>51</v>
      </c>
      <c r="S190" s="149" t="s">
        <v>564</v>
      </c>
      <c r="T190" s="150" t="s">
        <v>53</v>
      </c>
      <c r="U190" s="151">
        <f t="shared" si="12"/>
        <v>0</v>
      </c>
      <c r="V190" s="152">
        <f t="shared" si="13"/>
        <v>0</v>
      </c>
      <c r="W190" s="153" t="s">
        <v>54</v>
      </c>
      <c r="X190" s="153" t="s">
        <v>55</v>
      </c>
      <c r="Y190" s="154" t="s">
        <v>56</v>
      </c>
      <c r="Z190" s="155" t="s">
        <v>57</v>
      </c>
      <c r="AA190" s="156" t="s">
        <v>293</v>
      </c>
      <c r="AB190" s="157" t="s">
        <v>58</v>
      </c>
      <c r="AC190" s="158" t="s">
        <v>59</v>
      </c>
      <c r="AD190" s="153" t="s">
        <v>54</v>
      </c>
      <c r="AE190" s="153" t="s">
        <v>60</v>
      </c>
      <c r="AF190" s="159" t="s">
        <v>61</v>
      </c>
      <c r="AG190" s="159" t="s">
        <v>62</v>
      </c>
      <c r="AH190" s="159" t="s">
        <v>63</v>
      </c>
      <c r="AI190" s="159" t="s">
        <v>64</v>
      </c>
      <c r="AJ190" s="159" t="s">
        <v>64</v>
      </c>
      <c r="AK190" s="197" t="s">
        <v>64</v>
      </c>
      <c r="AL190" s="29"/>
      <c r="AM190" s="29"/>
      <c r="AN190" s="29"/>
      <c r="AO190" s="29"/>
    </row>
    <row r="191" spans="1:41" ht="84.75" customHeight="1" thickBot="1" x14ac:dyDescent="0.25">
      <c r="A191" s="1"/>
      <c r="B191" s="196" t="s">
        <v>42</v>
      </c>
      <c r="C191" s="143">
        <v>1325</v>
      </c>
      <c r="D191" s="143" t="s">
        <v>155</v>
      </c>
      <c r="E191" s="143" t="s">
        <v>156</v>
      </c>
      <c r="F191" s="175" t="s">
        <v>382</v>
      </c>
      <c r="G191" s="175" t="s">
        <v>370</v>
      </c>
      <c r="H191" s="175" t="s">
        <v>565</v>
      </c>
      <c r="I191" s="176">
        <f>13000000+12000000</f>
        <v>25000000</v>
      </c>
      <c r="J191" s="177" t="s">
        <v>48</v>
      </c>
      <c r="K191" s="177" t="s">
        <v>48</v>
      </c>
      <c r="L191" s="178" t="s">
        <v>372</v>
      </c>
      <c r="M191" s="143" t="s">
        <v>50</v>
      </c>
      <c r="N191" s="145" t="str">
        <f>H191</f>
        <v>Amparar el pago de suscripción de la membresía del prefijo IPV6., en el marco del protocolo establecido por MinTIC en mediante Resolución 2710 de 2017.</v>
      </c>
      <c r="O191" s="146">
        <v>1</v>
      </c>
      <c r="P191" s="146">
        <v>1</v>
      </c>
      <c r="Q191" s="147">
        <v>11</v>
      </c>
      <c r="R191" s="148" t="s">
        <v>51</v>
      </c>
      <c r="S191" s="149" t="s">
        <v>566</v>
      </c>
      <c r="T191" s="150" t="s">
        <v>53</v>
      </c>
      <c r="U191" s="151">
        <f t="shared" si="12"/>
        <v>25000000</v>
      </c>
      <c r="V191" s="152">
        <f t="shared" si="13"/>
        <v>25000000</v>
      </c>
      <c r="W191" s="153" t="s">
        <v>54</v>
      </c>
      <c r="X191" s="153" t="s">
        <v>55</v>
      </c>
      <c r="Y191" s="154" t="s">
        <v>56</v>
      </c>
      <c r="Z191" s="155" t="s">
        <v>57</v>
      </c>
      <c r="AA191" s="156" t="s">
        <v>42</v>
      </c>
      <c r="AB191" s="157" t="s">
        <v>58</v>
      </c>
      <c r="AC191" s="158" t="s">
        <v>59</v>
      </c>
      <c r="AD191" s="153" t="s">
        <v>54</v>
      </c>
      <c r="AE191" s="153" t="s">
        <v>60</v>
      </c>
      <c r="AF191" s="159" t="s">
        <v>61</v>
      </c>
      <c r="AG191" s="159" t="s">
        <v>62</v>
      </c>
      <c r="AH191" s="159" t="s">
        <v>63</v>
      </c>
      <c r="AI191" s="159" t="s">
        <v>64</v>
      </c>
      <c r="AJ191" s="159" t="s">
        <v>64</v>
      </c>
      <c r="AK191" s="197" t="s">
        <v>64</v>
      </c>
    </row>
    <row r="192" spans="1:41" ht="84.75" customHeight="1" thickBot="1" x14ac:dyDescent="0.25">
      <c r="A192" s="1"/>
      <c r="B192" s="196" t="s">
        <v>42</v>
      </c>
      <c r="C192" s="143">
        <v>1325</v>
      </c>
      <c r="D192" s="143" t="s">
        <v>155</v>
      </c>
      <c r="E192" s="143" t="s">
        <v>156</v>
      </c>
      <c r="F192" s="175" t="s">
        <v>123</v>
      </c>
      <c r="G192" s="175" t="s">
        <v>124</v>
      </c>
      <c r="H192" s="175" t="s">
        <v>567</v>
      </c>
      <c r="I192" s="176">
        <v>163800000</v>
      </c>
      <c r="J192" s="177" t="s">
        <v>60</v>
      </c>
      <c r="K192" s="177" t="s">
        <v>48</v>
      </c>
      <c r="L192" s="178" t="s">
        <v>568</v>
      </c>
      <c r="M192" s="143" t="s">
        <v>569</v>
      </c>
      <c r="N192" s="145" t="str">
        <f>H192</f>
        <v>Prestar los servicios de soporte para el Sistema Académico CLASS</v>
      </c>
      <c r="O192" s="146">
        <v>1</v>
      </c>
      <c r="P192" s="146">
        <v>1</v>
      </c>
      <c r="Q192" s="147">
        <v>11</v>
      </c>
      <c r="R192" s="148" t="s">
        <v>51</v>
      </c>
      <c r="S192" s="149" t="s">
        <v>570</v>
      </c>
      <c r="T192" s="150" t="s">
        <v>53</v>
      </c>
      <c r="U192" s="151">
        <f t="shared" si="12"/>
        <v>163800000</v>
      </c>
      <c r="V192" s="152">
        <f t="shared" si="13"/>
        <v>163800000</v>
      </c>
      <c r="W192" s="153" t="s">
        <v>54</v>
      </c>
      <c r="X192" s="153" t="s">
        <v>55</v>
      </c>
      <c r="Y192" s="154" t="s">
        <v>56</v>
      </c>
      <c r="Z192" s="155" t="s">
        <v>57</v>
      </c>
      <c r="AA192" s="156" t="s">
        <v>42</v>
      </c>
      <c r="AB192" s="157" t="s">
        <v>58</v>
      </c>
      <c r="AC192" s="158" t="s">
        <v>59</v>
      </c>
      <c r="AD192" s="153" t="s">
        <v>54</v>
      </c>
      <c r="AE192" s="153" t="s">
        <v>60</v>
      </c>
      <c r="AF192" s="159" t="s">
        <v>61</v>
      </c>
      <c r="AG192" s="159" t="s">
        <v>62</v>
      </c>
      <c r="AH192" s="159" t="s">
        <v>63</v>
      </c>
      <c r="AI192" s="159" t="s">
        <v>64</v>
      </c>
      <c r="AJ192" s="159" t="s">
        <v>64</v>
      </c>
      <c r="AK192" s="197" t="s">
        <v>64</v>
      </c>
    </row>
    <row r="193" spans="1:41" s="8" customFormat="1" ht="84.75" customHeight="1" thickBot="1" x14ac:dyDescent="0.25">
      <c r="A193" s="1"/>
      <c r="B193" s="196" t="s">
        <v>42</v>
      </c>
      <c r="C193" s="143">
        <v>1325</v>
      </c>
      <c r="D193" s="143" t="s">
        <v>155</v>
      </c>
      <c r="E193" s="143" t="s">
        <v>156</v>
      </c>
      <c r="F193" s="175" t="s">
        <v>123</v>
      </c>
      <c r="G193" s="175" t="s">
        <v>124</v>
      </c>
      <c r="H193" s="175" t="s">
        <v>571</v>
      </c>
      <c r="I193" s="176">
        <v>14742000</v>
      </c>
      <c r="J193" s="177" t="s">
        <v>60</v>
      </c>
      <c r="K193" s="177" t="s">
        <v>48</v>
      </c>
      <c r="L193" s="178" t="s">
        <v>572</v>
      </c>
      <c r="M193" s="143" t="s">
        <v>569</v>
      </c>
      <c r="N193" s="145" t="str">
        <f>H193</f>
        <v>Prestar los servicios de soporte y mantenimiento para el sistema de notas en uso del Instituto Pedagógico Nacional INTEGRA PLATAFORMA ACADEMICA</v>
      </c>
      <c r="O193" s="146">
        <v>1</v>
      </c>
      <c r="P193" s="146">
        <v>1</v>
      </c>
      <c r="Q193" s="147">
        <v>11</v>
      </c>
      <c r="R193" s="148" t="s">
        <v>51</v>
      </c>
      <c r="S193" s="149" t="s">
        <v>573</v>
      </c>
      <c r="T193" s="150" t="s">
        <v>53</v>
      </c>
      <c r="U193" s="151">
        <f t="shared" si="12"/>
        <v>14742000</v>
      </c>
      <c r="V193" s="152">
        <f t="shared" si="13"/>
        <v>14742000</v>
      </c>
      <c r="W193" s="153" t="s">
        <v>54</v>
      </c>
      <c r="X193" s="153" t="s">
        <v>55</v>
      </c>
      <c r="Y193" s="154" t="s">
        <v>56</v>
      </c>
      <c r="Z193" s="155" t="s">
        <v>57</v>
      </c>
      <c r="AA193" s="156" t="s">
        <v>42</v>
      </c>
      <c r="AB193" s="157" t="s">
        <v>58</v>
      </c>
      <c r="AC193" s="158" t="s">
        <v>59</v>
      </c>
      <c r="AD193" s="153" t="s">
        <v>54</v>
      </c>
      <c r="AE193" s="153" t="s">
        <v>60</v>
      </c>
      <c r="AF193" s="159" t="s">
        <v>61</v>
      </c>
      <c r="AG193" s="159" t="s">
        <v>62</v>
      </c>
      <c r="AH193" s="159" t="s">
        <v>63</v>
      </c>
      <c r="AI193" s="159" t="s">
        <v>64</v>
      </c>
      <c r="AJ193" s="159" t="s">
        <v>64</v>
      </c>
      <c r="AK193" s="197" t="s">
        <v>64</v>
      </c>
      <c r="AL193" s="42"/>
      <c r="AM193" s="42"/>
      <c r="AN193" s="42"/>
      <c r="AO193" s="42"/>
    </row>
    <row r="194" spans="1:41" ht="84.75" customHeight="1" thickBot="1" x14ac:dyDescent="0.25">
      <c r="A194" s="1"/>
      <c r="B194" s="196" t="s">
        <v>42</v>
      </c>
      <c r="C194" s="143">
        <v>1325</v>
      </c>
      <c r="D194" s="143" t="s">
        <v>155</v>
      </c>
      <c r="E194" s="143" t="s">
        <v>156</v>
      </c>
      <c r="F194" s="175" t="s">
        <v>123</v>
      </c>
      <c r="G194" s="175" t="s">
        <v>124</v>
      </c>
      <c r="H194" s="175" t="s">
        <v>574</v>
      </c>
      <c r="I194" s="176">
        <v>34856495</v>
      </c>
      <c r="J194" s="177" t="s">
        <v>575</v>
      </c>
      <c r="K194" s="177" t="s">
        <v>48</v>
      </c>
      <c r="L194" s="178" t="s">
        <v>576</v>
      </c>
      <c r="M194" s="143" t="s">
        <v>569</v>
      </c>
      <c r="N194" s="145" t="s">
        <v>577</v>
      </c>
      <c r="O194" s="146">
        <v>1</v>
      </c>
      <c r="P194" s="146">
        <v>1</v>
      </c>
      <c r="Q194" s="147">
        <v>11</v>
      </c>
      <c r="R194" s="148" t="s">
        <v>51</v>
      </c>
      <c r="S194" s="149" t="s">
        <v>578</v>
      </c>
      <c r="T194" s="150" t="s">
        <v>53</v>
      </c>
      <c r="U194" s="151">
        <f t="shared" si="12"/>
        <v>34856495</v>
      </c>
      <c r="V194" s="152">
        <f t="shared" si="13"/>
        <v>34856495</v>
      </c>
      <c r="W194" s="153" t="s">
        <v>54</v>
      </c>
      <c r="X194" s="153" t="s">
        <v>55</v>
      </c>
      <c r="Y194" s="154" t="s">
        <v>56</v>
      </c>
      <c r="Z194" s="155" t="s">
        <v>57</v>
      </c>
      <c r="AA194" s="156" t="s">
        <v>42</v>
      </c>
      <c r="AB194" s="157" t="s">
        <v>58</v>
      </c>
      <c r="AC194" s="158" t="s">
        <v>59</v>
      </c>
      <c r="AD194" s="153" t="s">
        <v>54</v>
      </c>
      <c r="AE194" s="153" t="s">
        <v>60</v>
      </c>
      <c r="AF194" s="159" t="s">
        <v>61</v>
      </c>
      <c r="AG194" s="159" t="s">
        <v>62</v>
      </c>
      <c r="AH194" s="159" t="s">
        <v>63</v>
      </c>
      <c r="AI194" s="159" t="s">
        <v>64</v>
      </c>
      <c r="AJ194" s="159" t="s">
        <v>64</v>
      </c>
      <c r="AK194" s="197" t="s">
        <v>64</v>
      </c>
    </row>
    <row r="195" spans="1:41" ht="84.75" customHeight="1" thickBot="1" x14ac:dyDescent="0.25">
      <c r="A195" s="1"/>
      <c r="B195" s="196" t="s">
        <v>42</v>
      </c>
      <c r="C195" s="143">
        <v>1325</v>
      </c>
      <c r="D195" s="143" t="s">
        <v>155</v>
      </c>
      <c r="E195" s="143" t="s">
        <v>156</v>
      </c>
      <c r="F195" s="175" t="s">
        <v>123</v>
      </c>
      <c r="G195" s="175" t="s">
        <v>124</v>
      </c>
      <c r="H195" s="175" t="s">
        <v>579</v>
      </c>
      <c r="I195" s="176">
        <f>75329556- 3851760</f>
        <v>71477796</v>
      </c>
      <c r="J195" s="177" t="s">
        <v>60</v>
      </c>
      <c r="K195" s="177" t="s">
        <v>48</v>
      </c>
      <c r="L195" s="178" t="s">
        <v>580</v>
      </c>
      <c r="M195" s="143" t="s">
        <v>569</v>
      </c>
      <c r="N195" s="160" t="str">
        <f>H195</f>
        <v>Prestar los servicios de soporte y desarrollo para el Sistema de Gestión Documental software  Papiro Cloud en Nube</v>
      </c>
      <c r="O195" s="153">
        <v>7</v>
      </c>
      <c r="P195" s="146">
        <v>8</v>
      </c>
      <c r="Q195" s="147">
        <v>4</v>
      </c>
      <c r="R195" s="148" t="s">
        <v>51</v>
      </c>
      <c r="S195" s="149" t="s">
        <v>581</v>
      </c>
      <c r="T195" s="150" t="s">
        <v>53</v>
      </c>
      <c r="U195" s="151">
        <f t="shared" si="12"/>
        <v>71477796</v>
      </c>
      <c r="V195" s="152">
        <f t="shared" si="13"/>
        <v>71477796</v>
      </c>
      <c r="W195" s="153" t="s">
        <v>54</v>
      </c>
      <c r="X195" s="153" t="s">
        <v>55</v>
      </c>
      <c r="Y195" s="154" t="s">
        <v>56</v>
      </c>
      <c r="Z195" s="155" t="s">
        <v>57</v>
      </c>
      <c r="AA195" s="156" t="s">
        <v>42</v>
      </c>
      <c r="AB195" s="157" t="s">
        <v>58</v>
      </c>
      <c r="AC195" s="158" t="s">
        <v>59</v>
      </c>
      <c r="AD195" s="153" t="s">
        <v>54</v>
      </c>
      <c r="AE195" s="153" t="s">
        <v>60</v>
      </c>
      <c r="AF195" s="159" t="s">
        <v>61</v>
      </c>
      <c r="AG195" s="159" t="s">
        <v>62</v>
      </c>
      <c r="AH195" s="159" t="s">
        <v>63</v>
      </c>
      <c r="AI195" s="159" t="s">
        <v>64</v>
      </c>
      <c r="AJ195" s="159" t="s">
        <v>64</v>
      </c>
      <c r="AK195" s="197" t="s">
        <v>64</v>
      </c>
    </row>
    <row r="196" spans="1:41" ht="84.75" customHeight="1" thickBot="1" x14ac:dyDescent="0.25">
      <c r="A196" s="1"/>
      <c r="B196" s="196" t="s">
        <v>42</v>
      </c>
      <c r="C196" s="143">
        <v>1325</v>
      </c>
      <c r="D196" s="143" t="s">
        <v>155</v>
      </c>
      <c r="E196" s="143" t="s">
        <v>156</v>
      </c>
      <c r="F196" s="175" t="s">
        <v>582</v>
      </c>
      <c r="G196" s="175" t="s">
        <v>583</v>
      </c>
      <c r="H196" s="175" t="s">
        <v>579</v>
      </c>
      <c r="I196" s="176">
        <f>3851760</f>
        <v>3851760</v>
      </c>
      <c r="J196" s="177" t="s">
        <v>60</v>
      </c>
      <c r="K196" s="177" t="s">
        <v>48</v>
      </c>
      <c r="L196" s="178" t="s">
        <v>580</v>
      </c>
      <c r="M196" s="143">
        <v>81111500</v>
      </c>
      <c r="N196" s="160"/>
      <c r="O196" s="153">
        <v>7</v>
      </c>
      <c r="P196" s="146">
        <v>8</v>
      </c>
      <c r="Q196" s="147">
        <v>4</v>
      </c>
      <c r="R196" s="148" t="s">
        <v>51</v>
      </c>
      <c r="S196" s="149" t="s">
        <v>581</v>
      </c>
      <c r="T196" s="150" t="s">
        <v>53</v>
      </c>
      <c r="U196" s="151">
        <f t="shared" si="12"/>
        <v>3851760</v>
      </c>
      <c r="V196" s="152">
        <f t="shared" si="13"/>
        <v>3851760</v>
      </c>
      <c r="W196" s="153" t="s">
        <v>54</v>
      </c>
      <c r="X196" s="153" t="s">
        <v>55</v>
      </c>
      <c r="Y196" s="154" t="s">
        <v>56</v>
      </c>
      <c r="Z196" s="155" t="s">
        <v>57</v>
      </c>
      <c r="AA196" s="156" t="s">
        <v>42</v>
      </c>
      <c r="AB196" s="157" t="s">
        <v>58</v>
      </c>
      <c r="AC196" s="158" t="s">
        <v>59</v>
      </c>
      <c r="AD196" s="153" t="s">
        <v>54</v>
      </c>
      <c r="AE196" s="153" t="s">
        <v>60</v>
      </c>
      <c r="AF196" s="159" t="s">
        <v>61</v>
      </c>
      <c r="AG196" s="159" t="s">
        <v>62</v>
      </c>
      <c r="AH196" s="159" t="s">
        <v>63</v>
      </c>
      <c r="AI196" s="159" t="s">
        <v>64</v>
      </c>
      <c r="AJ196" s="159" t="s">
        <v>64</v>
      </c>
      <c r="AK196" s="197" t="s">
        <v>64</v>
      </c>
    </row>
    <row r="197" spans="1:41" s="18" customFormat="1" ht="84.75" customHeight="1" thickBot="1" x14ac:dyDescent="0.25">
      <c r="A197" s="1"/>
      <c r="B197" s="196" t="s">
        <v>42</v>
      </c>
      <c r="C197" s="143">
        <v>1325</v>
      </c>
      <c r="D197" s="143" t="s">
        <v>155</v>
      </c>
      <c r="E197" s="143" t="s">
        <v>156</v>
      </c>
      <c r="F197" s="175" t="s">
        <v>123</v>
      </c>
      <c r="G197" s="175" t="s">
        <v>124</v>
      </c>
      <c r="H197" s="175" t="s">
        <v>584</v>
      </c>
      <c r="I197" s="176">
        <v>10920000</v>
      </c>
      <c r="J197" s="177" t="s">
        <v>60</v>
      </c>
      <c r="K197" s="177" t="s">
        <v>48</v>
      </c>
      <c r="L197" s="178" t="s">
        <v>585</v>
      </c>
      <c r="M197" s="143" t="s">
        <v>569</v>
      </c>
      <c r="N197" s="145" t="str">
        <f>H197</f>
        <v>Prestar los servicios de soporte para el sistema integrado de gestión de bibliotecas software KOHA</v>
      </c>
      <c r="O197" s="146">
        <v>1</v>
      </c>
      <c r="P197" s="146">
        <v>1</v>
      </c>
      <c r="Q197" s="147">
        <v>11</v>
      </c>
      <c r="R197" s="148" t="s">
        <v>51</v>
      </c>
      <c r="S197" s="149" t="s">
        <v>586</v>
      </c>
      <c r="T197" s="150" t="s">
        <v>53</v>
      </c>
      <c r="U197" s="151">
        <f t="shared" si="12"/>
        <v>10920000</v>
      </c>
      <c r="V197" s="152">
        <f t="shared" si="13"/>
        <v>10920000</v>
      </c>
      <c r="W197" s="153" t="s">
        <v>54</v>
      </c>
      <c r="X197" s="153" t="s">
        <v>55</v>
      </c>
      <c r="Y197" s="154" t="s">
        <v>56</v>
      </c>
      <c r="Z197" s="155" t="s">
        <v>57</v>
      </c>
      <c r="AA197" s="156" t="s">
        <v>42</v>
      </c>
      <c r="AB197" s="157" t="s">
        <v>58</v>
      </c>
      <c r="AC197" s="158" t="s">
        <v>59</v>
      </c>
      <c r="AD197" s="153" t="s">
        <v>54</v>
      </c>
      <c r="AE197" s="153" t="s">
        <v>60</v>
      </c>
      <c r="AF197" s="159" t="s">
        <v>61</v>
      </c>
      <c r="AG197" s="159" t="s">
        <v>62</v>
      </c>
      <c r="AH197" s="159" t="s">
        <v>63</v>
      </c>
      <c r="AI197" s="159" t="s">
        <v>64</v>
      </c>
      <c r="AJ197" s="159" t="s">
        <v>64</v>
      </c>
      <c r="AK197" s="197" t="s">
        <v>64</v>
      </c>
      <c r="AL197" s="29"/>
      <c r="AM197" s="29"/>
      <c r="AN197" s="29"/>
      <c r="AO197" s="29"/>
    </row>
    <row r="198" spans="1:41" s="18" customFormat="1" ht="84.75" customHeight="1" thickBot="1" x14ac:dyDescent="0.25">
      <c r="A198" s="1"/>
      <c r="B198" s="196" t="s">
        <v>42</v>
      </c>
      <c r="C198" s="143">
        <v>1325</v>
      </c>
      <c r="D198" s="143" t="s">
        <v>155</v>
      </c>
      <c r="E198" s="143" t="s">
        <v>156</v>
      </c>
      <c r="F198" s="175" t="s">
        <v>123</v>
      </c>
      <c r="G198" s="175" t="s">
        <v>124</v>
      </c>
      <c r="H198" s="175" t="s">
        <v>587</v>
      </c>
      <c r="I198" s="176">
        <v>98841132</v>
      </c>
      <c r="J198" s="177" t="s">
        <v>575</v>
      </c>
      <c r="K198" s="177" t="s">
        <v>48</v>
      </c>
      <c r="L198" s="178" t="s">
        <v>588</v>
      </c>
      <c r="M198" s="143" t="s">
        <v>569</v>
      </c>
      <c r="N198" s="145" t="s">
        <v>587</v>
      </c>
      <c r="O198" s="146">
        <v>1</v>
      </c>
      <c r="P198" s="146">
        <v>1</v>
      </c>
      <c r="Q198" s="147">
        <v>11</v>
      </c>
      <c r="R198" s="148" t="s">
        <v>51</v>
      </c>
      <c r="S198" s="149" t="s">
        <v>589</v>
      </c>
      <c r="T198" s="150" t="s">
        <v>53</v>
      </c>
      <c r="U198" s="151">
        <f t="shared" si="12"/>
        <v>98841132</v>
      </c>
      <c r="V198" s="152">
        <f t="shared" si="13"/>
        <v>98841132</v>
      </c>
      <c r="W198" s="153" t="s">
        <v>54</v>
      </c>
      <c r="X198" s="153" t="s">
        <v>55</v>
      </c>
      <c r="Y198" s="154" t="s">
        <v>56</v>
      </c>
      <c r="Z198" s="155" t="s">
        <v>57</v>
      </c>
      <c r="AA198" s="156" t="s">
        <v>42</v>
      </c>
      <c r="AB198" s="157" t="s">
        <v>58</v>
      </c>
      <c r="AC198" s="158" t="s">
        <v>59</v>
      </c>
      <c r="AD198" s="153" t="s">
        <v>54</v>
      </c>
      <c r="AE198" s="153" t="s">
        <v>60</v>
      </c>
      <c r="AF198" s="159" t="s">
        <v>61</v>
      </c>
      <c r="AG198" s="159" t="s">
        <v>62</v>
      </c>
      <c r="AH198" s="159" t="s">
        <v>63</v>
      </c>
      <c r="AI198" s="159" t="s">
        <v>64</v>
      </c>
      <c r="AJ198" s="159" t="s">
        <v>64</v>
      </c>
      <c r="AK198" s="197" t="s">
        <v>64</v>
      </c>
      <c r="AL198" s="29"/>
      <c r="AM198" s="29"/>
      <c r="AN198" s="29"/>
      <c r="AO198" s="29"/>
    </row>
    <row r="199" spans="1:41" s="18" customFormat="1" ht="84.75" customHeight="1" thickBot="1" x14ac:dyDescent="0.25">
      <c r="A199" s="1"/>
      <c r="B199" s="196" t="s">
        <v>42</v>
      </c>
      <c r="C199" s="143">
        <v>1325</v>
      </c>
      <c r="D199" s="143" t="s">
        <v>155</v>
      </c>
      <c r="E199" s="143" t="s">
        <v>156</v>
      </c>
      <c r="F199" s="175" t="s">
        <v>123</v>
      </c>
      <c r="G199" s="175" t="s">
        <v>124</v>
      </c>
      <c r="H199" s="175" t="s">
        <v>590</v>
      </c>
      <c r="I199" s="176">
        <v>25882500</v>
      </c>
      <c r="J199" s="177" t="s">
        <v>575</v>
      </c>
      <c r="K199" s="177" t="s">
        <v>48</v>
      </c>
      <c r="L199" s="178" t="s">
        <v>591</v>
      </c>
      <c r="M199" s="143" t="s">
        <v>569</v>
      </c>
      <c r="N199" s="145" t="s">
        <v>590</v>
      </c>
      <c r="O199" s="146">
        <v>1</v>
      </c>
      <c r="P199" s="146">
        <v>1</v>
      </c>
      <c r="Q199" s="147">
        <v>11</v>
      </c>
      <c r="R199" s="148" t="s">
        <v>51</v>
      </c>
      <c r="S199" s="149" t="s">
        <v>592</v>
      </c>
      <c r="T199" s="150" t="s">
        <v>53</v>
      </c>
      <c r="U199" s="151">
        <f t="shared" si="12"/>
        <v>25882500</v>
      </c>
      <c r="V199" s="152">
        <f t="shared" si="13"/>
        <v>25882500</v>
      </c>
      <c r="W199" s="153" t="s">
        <v>54</v>
      </c>
      <c r="X199" s="153" t="s">
        <v>55</v>
      </c>
      <c r="Y199" s="154" t="s">
        <v>56</v>
      </c>
      <c r="Z199" s="155" t="s">
        <v>57</v>
      </c>
      <c r="AA199" s="156" t="s">
        <v>42</v>
      </c>
      <c r="AB199" s="157" t="s">
        <v>58</v>
      </c>
      <c r="AC199" s="158" t="s">
        <v>59</v>
      </c>
      <c r="AD199" s="153" t="s">
        <v>54</v>
      </c>
      <c r="AE199" s="153" t="s">
        <v>60</v>
      </c>
      <c r="AF199" s="159" t="s">
        <v>61</v>
      </c>
      <c r="AG199" s="159" t="s">
        <v>62</v>
      </c>
      <c r="AH199" s="159" t="s">
        <v>63</v>
      </c>
      <c r="AI199" s="159" t="s">
        <v>64</v>
      </c>
      <c r="AJ199" s="159" t="s">
        <v>64</v>
      </c>
      <c r="AK199" s="197" t="s">
        <v>64</v>
      </c>
      <c r="AL199" s="29"/>
      <c r="AM199" s="29"/>
      <c r="AN199" s="29"/>
      <c r="AO199" s="29"/>
    </row>
    <row r="200" spans="1:41" ht="84.75" customHeight="1" thickBot="1" x14ac:dyDescent="0.25">
      <c r="A200" s="1"/>
      <c r="B200" s="196" t="s">
        <v>42</v>
      </c>
      <c r="C200" s="143">
        <v>1325</v>
      </c>
      <c r="D200" s="143" t="s">
        <v>155</v>
      </c>
      <c r="E200" s="143" t="s">
        <v>156</v>
      </c>
      <c r="F200" s="175" t="s">
        <v>123</v>
      </c>
      <c r="G200" s="175" t="s">
        <v>124</v>
      </c>
      <c r="H200" s="175" t="s">
        <v>593</v>
      </c>
      <c r="I200" s="176">
        <v>19635000</v>
      </c>
      <c r="J200" s="177" t="s">
        <v>575</v>
      </c>
      <c r="K200" s="177" t="s">
        <v>48</v>
      </c>
      <c r="L200" s="178" t="s">
        <v>594</v>
      </c>
      <c r="M200" s="143" t="s">
        <v>569</v>
      </c>
      <c r="N200" s="145" t="s">
        <v>593</v>
      </c>
      <c r="O200" s="146">
        <v>1</v>
      </c>
      <c r="P200" s="146">
        <v>1</v>
      </c>
      <c r="Q200" s="147">
        <v>11</v>
      </c>
      <c r="R200" s="148" t="s">
        <v>51</v>
      </c>
      <c r="S200" s="149" t="s">
        <v>595</v>
      </c>
      <c r="T200" s="150" t="s">
        <v>53</v>
      </c>
      <c r="U200" s="151">
        <f t="shared" si="12"/>
        <v>19635000</v>
      </c>
      <c r="V200" s="152">
        <f t="shared" si="13"/>
        <v>19635000</v>
      </c>
      <c r="W200" s="153" t="s">
        <v>54</v>
      </c>
      <c r="X200" s="153" t="s">
        <v>55</v>
      </c>
      <c r="Y200" s="154" t="s">
        <v>56</v>
      </c>
      <c r="Z200" s="155" t="s">
        <v>57</v>
      </c>
      <c r="AA200" s="156" t="s">
        <v>42</v>
      </c>
      <c r="AB200" s="157" t="s">
        <v>58</v>
      </c>
      <c r="AC200" s="158" t="s">
        <v>59</v>
      </c>
      <c r="AD200" s="153" t="s">
        <v>54</v>
      </c>
      <c r="AE200" s="153" t="s">
        <v>60</v>
      </c>
      <c r="AF200" s="159" t="s">
        <v>61</v>
      </c>
      <c r="AG200" s="159" t="s">
        <v>62</v>
      </c>
      <c r="AH200" s="159" t="s">
        <v>63</v>
      </c>
      <c r="AI200" s="159" t="s">
        <v>64</v>
      </c>
      <c r="AJ200" s="159" t="s">
        <v>64</v>
      </c>
      <c r="AK200" s="197" t="s">
        <v>64</v>
      </c>
    </row>
    <row r="201" spans="1:41" ht="84.75" customHeight="1" thickBot="1" x14ac:dyDescent="0.25">
      <c r="A201" s="1"/>
      <c r="B201" s="196" t="s">
        <v>42</v>
      </c>
      <c r="C201" s="143">
        <v>1325</v>
      </c>
      <c r="D201" s="143" t="s">
        <v>155</v>
      </c>
      <c r="E201" s="143" t="s">
        <v>156</v>
      </c>
      <c r="F201" s="175" t="s">
        <v>123</v>
      </c>
      <c r="G201" s="175" t="s">
        <v>124</v>
      </c>
      <c r="H201" s="175" t="s">
        <v>596</v>
      </c>
      <c r="I201" s="176">
        <v>23434320</v>
      </c>
      <c r="J201" s="177" t="s">
        <v>60</v>
      </c>
      <c r="K201" s="177" t="s">
        <v>48</v>
      </c>
      <c r="L201" s="178" t="s">
        <v>597</v>
      </c>
      <c r="M201" s="143" t="s">
        <v>569</v>
      </c>
      <c r="N201" s="145" t="str">
        <f t="shared" ref="N201:N210" si="21">H201</f>
        <v xml:space="preserve">Prestar los servicios de operación para la facturación electrónica de venta de la Universidad Pedagógica Nacional. </v>
      </c>
      <c r="O201" s="146">
        <v>1</v>
      </c>
      <c r="P201" s="146">
        <v>1</v>
      </c>
      <c r="Q201" s="147">
        <v>11</v>
      </c>
      <c r="R201" s="148" t="s">
        <v>51</v>
      </c>
      <c r="S201" s="149" t="s">
        <v>598</v>
      </c>
      <c r="T201" s="150" t="s">
        <v>53</v>
      </c>
      <c r="U201" s="151">
        <f t="shared" si="12"/>
        <v>23434320</v>
      </c>
      <c r="V201" s="152">
        <f t="shared" si="13"/>
        <v>23434320</v>
      </c>
      <c r="W201" s="153" t="s">
        <v>54</v>
      </c>
      <c r="X201" s="153" t="s">
        <v>55</v>
      </c>
      <c r="Y201" s="154" t="s">
        <v>56</v>
      </c>
      <c r="Z201" s="155" t="s">
        <v>57</v>
      </c>
      <c r="AA201" s="156" t="s">
        <v>42</v>
      </c>
      <c r="AB201" s="157" t="s">
        <v>58</v>
      </c>
      <c r="AC201" s="158" t="s">
        <v>59</v>
      </c>
      <c r="AD201" s="153" t="s">
        <v>54</v>
      </c>
      <c r="AE201" s="153" t="s">
        <v>60</v>
      </c>
      <c r="AF201" s="159" t="s">
        <v>61</v>
      </c>
      <c r="AG201" s="159" t="s">
        <v>62</v>
      </c>
      <c r="AH201" s="159" t="s">
        <v>63</v>
      </c>
      <c r="AI201" s="159" t="s">
        <v>64</v>
      </c>
      <c r="AJ201" s="159" t="s">
        <v>64</v>
      </c>
      <c r="AK201" s="197" t="s">
        <v>64</v>
      </c>
    </row>
    <row r="202" spans="1:41" ht="84.75" customHeight="1" thickBot="1" x14ac:dyDescent="0.25">
      <c r="A202" s="1"/>
      <c r="B202" s="196" t="s">
        <v>42</v>
      </c>
      <c r="C202" s="143">
        <v>1325</v>
      </c>
      <c r="D202" s="143" t="s">
        <v>155</v>
      </c>
      <c r="E202" s="143" t="s">
        <v>156</v>
      </c>
      <c r="F202" s="175" t="s">
        <v>123</v>
      </c>
      <c r="G202" s="175" t="s">
        <v>124</v>
      </c>
      <c r="H202" s="175" t="s">
        <v>599</v>
      </c>
      <c r="I202" s="176">
        <v>0</v>
      </c>
      <c r="J202" s="177" t="s">
        <v>48</v>
      </c>
      <c r="K202" s="177" t="s">
        <v>48</v>
      </c>
      <c r="L202" s="178" t="s">
        <v>600</v>
      </c>
      <c r="M202" s="143" t="s">
        <v>569</v>
      </c>
      <c r="N202" s="145" t="str">
        <f t="shared" si="21"/>
        <v xml:space="preserve">Prestar el Servicios de mantenimiento y reparación de  maquinaria y otro equipo DATACENTER </v>
      </c>
      <c r="O202" s="146">
        <v>1</v>
      </c>
      <c r="P202" s="146">
        <v>1</v>
      </c>
      <c r="Q202" s="147">
        <v>11</v>
      </c>
      <c r="R202" s="148" t="s">
        <v>51</v>
      </c>
      <c r="S202" s="149" t="s">
        <v>601</v>
      </c>
      <c r="T202" s="150" t="s">
        <v>53</v>
      </c>
      <c r="U202" s="151">
        <f t="shared" si="12"/>
        <v>0</v>
      </c>
      <c r="V202" s="152">
        <f t="shared" si="13"/>
        <v>0</v>
      </c>
      <c r="W202" s="153" t="s">
        <v>54</v>
      </c>
      <c r="X202" s="153" t="s">
        <v>55</v>
      </c>
      <c r="Y202" s="154" t="s">
        <v>56</v>
      </c>
      <c r="Z202" s="155" t="s">
        <v>57</v>
      </c>
      <c r="AA202" s="156" t="s">
        <v>42</v>
      </c>
      <c r="AB202" s="157" t="s">
        <v>58</v>
      </c>
      <c r="AC202" s="158" t="s">
        <v>59</v>
      </c>
      <c r="AD202" s="153" t="s">
        <v>54</v>
      </c>
      <c r="AE202" s="153" t="s">
        <v>60</v>
      </c>
      <c r="AF202" s="159" t="s">
        <v>61</v>
      </c>
      <c r="AG202" s="159" t="s">
        <v>62</v>
      </c>
      <c r="AH202" s="159" t="s">
        <v>63</v>
      </c>
      <c r="AI202" s="159" t="s">
        <v>64</v>
      </c>
      <c r="AJ202" s="159" t="s">
        <v>64</v>
      </c>
      <c r="AK202" s="197" t="s">
        <v>64</v>
      </c>
    </row>
    <row r="203" spans="1:41" s="18" customFormat="1" ht="84.75" customHeight="1" thickBot="1" x14ac:dyDescent="0.25">
      <c r="A203" s="1"/>
      <c r="B203" s="196" t="s">
        <v>42</v>
      </c>
      <c r="C203" s="143">
        <v>1328</v>
      </c>
      <c r="D203" s="143" t="s">
        <v>602</v>
      </c>
      <c r="E203" s="143" t="s">
        <v>204</v>
      </c>
      <c r="F203" s="175" t="s">
        <v>126</v>
      </c>
      <c r="G203" s="175" t="s">
        <v>127</v>
      </c>
      <c r="H203" s="175" t="s">
        <v>603</v>
      </c>
      <c r="I203" s="176">
        <v>55000000</v>
      </c>
      <c r="J203" s="177" t="s">
        <v>48</v>
      </c>
      <c r="K203" s="177" t="s">
        <v>48</v>
      </c>
      <c r="L203" s="178" t="s">
        <v>604</v>
      </c>
      <c r="M203" s="143" t="s">
        <v>50</v>
      </c>
      <c r="N203" s="145" t="str">
        <f t="shared" si="21"/>
        <v>Plan de capacitación para la vigencia 2024</v>
      </c>
      <c r="O203" s="146">
        <v>1</v>
      </c>
      <c r="P203" s="146">
        <v>1</v>
      </c>
      <c r="Q203" s="147">
        <v>11</v>
      </c>
      <c r="R203" s="148" t="s">
        <v>51</v>
      </c>
      <c r="S203" s="149" t="s">
        <v>605</v>
      </c>
      <c r="T203" s="150" t="s">
        <v>53</v>
      </c>
      <c r="U203" s="151">
        <f t="shared" si="12"/>
        <v>55000000</v>
      </c>
      <c r="V203" s="152">
        <f t="shared" si="13"/>
        <v>55000000</v>
      </c>
      <c r="W203" s="153" t="s">
        <v>54</v>
      </c>
      <c r="X203" s="153" t="s">
        <v>55</v>
      </c>
      <c r="Y203" s="154" t="s">
        <v>56</v>
      </c>
      <c r="Z203" s="155" t="s">
        <v>57</v>
      </c>
      <c r="AA203" s="156" t="s">
        <v>42</v>
      </c>
      <c r="AB203" s="157" t="s">
        <v>58</v>
      </c>
      <c r="AC203" s="158" t="s">
        <v>59</v>
      </c>
      <c r="AD203" s="153" t="s">
        <v>54</v>
      </c>
      <c r="AE203" s="153" t="s">
        <v>60</v>
      </c>
      <c r="AF203" s="159" t="s">
        <v>61</v>
      </c>
      <c r="AG203" s="159" t="s">
        <v>62</v>
      </c>
      <c r="AH203" s="159" t="s">
        <v>63</v>
      </c>
      <c r="AI203" s="159" t="s">
        <v>64</v>
      </c>
      <c r="AJ203" s="159" t="s">
        <v>64</v>
      </c>
      <c r="AK203" s="197" t="s">
        <v>64</v>
      </c>
      <c r="AL203" s="29"/>
      <c r="AM203" s="29"/>
      <c r="AN203" s="29"/>
      <c r="AO203" s="29"/>
    </row>
    <row r="204" spans="1:41" ht="84.75" customHeight="1" thickBot="1" x14ac:dyDescent="0.25">
      <c r="A204" s="1"/>
      <c r="B204" s="196" t="s">
        <v>240</v>
      </c>
      <c r="C204" s="143">
        <v>1329</v>
      </c>
      <c r="D204" s="143" t="s">
        <v>606</v>
      </c>
      <c r="E204" s="143" t="s">
        <v>607</v>
      </c>
      <c r="F204" s="175" t="s">
        <v>117</v>
      </c>
      <c r="G204" s="175" t="s">
        <v>118</v>
      </c>
      <c r="H204" s="175" t="s">
        <v>608</v>
      </c>
      <c r="I204" s="176">
        <v>4237500</v>
      </c>
      <c r="J204" s="177" t="s">
        <v>60</v>
      </c>
      <c r="K204" s="177" t="s">
        <v>48</v>
      </c>
      <c r="L204" s="178" t="s">
        <v>609</v>
      </c>
      <c r="M204" s="143" t="s">
        <v>298</v>
      </c>
      <c r="N204" s="145" t="str">
        <f t="shared" si="21"/>
        <v>Suministrar alimento y bebidas para: a) reuniones de CAIDE, b) primer encuentro presencial por dos días de estudiantes del DIE, c) primer encuentro presencial  por dos días de profesores del DIE</v>
      </c>
      <c r="O204" s="146">
        <v>1</v>
      </c>
      <c r="P204" s="146">
        <v>1</v>
      </c>
      <c r="Q204" s="147">
        <v>11</v>
      </c>
      <c r="R204" s="148" t="s">
        <v>51</v>
      </c>
      <c r="S204" s="149" t="s">
        <v>610</v>
      </c>
      <c r="T204" s="150" t="s">
        <v>53</v>
      </c>
      <c r="U204" s="151">
        <f t="shared" si="12"/>
        <v>4237500</v>
      </c>
      <c r="V204" s="152">
        <f t="shared" si="13"/>
        <v>4237500</v>
      </c>
      <c r="W204" s="153" t="s">
        <v>54</v>
      </c>
      <c r="X204" s="153" t="s">
        <v>55</v>
      </c>
      <c r="Y204" s="154" t="s">
        <v>56</v>
      </c>
      <c r="Z204" s="155" t="s">
        <v>57</v>
      </c>
      <c r="AA204" s="156" t="s">
        <v>240</v>
      </c>
      <c r="AB204" s="157" t="s">
        <v>58</v>
      </c>
      <c r="AC204" s="158" t="s">
        <v>59</v>
      </c>
      <c r="AD204" s="153" t="s">
        <v>54</v>
      </c>
      <c r="AE204" s="153" t="s">
        <v>60</v>
      </c>
      <c r="AF204" s="159" t="s">
        <v>61</v>
      </c>
      <c r="AG204" s="159" t="s">
        <v>62</v>
      </c>
      <c r="AH204" s="159" t="s">
        <v>63</v>
      </c>
      <c r="AI204" s="159" t="s">
        <v>64</v>
      </c>
      <c r="AJ204" s="159" t="s">
        <v>64</v>
      </c>
      <c r="AK204" s="197" t="s">
        <v>64</v>
      </c>
    </row>
    <row r="205" spans="1:41" ht="84.75" customHeight="1" thickBot="1" x14ac:dyDescent="0.25">
      <c r="A205" s="1"/>
      <c r="B205" s="196" t="s">
        <v>240</v>
      </c>
      <c r="C205" s="143">
        <v>1330</v>
      </c>
      <c r="D205" s="143" t="s">
        <v>611</v>
      </c>
      <c r="E205" s="143" t="s">
        <v>44</v>
      </c>
      <c r="F205" s="175" t="s">
        <v>123</v>
      </c>
      <c r="G205" s="175" t="s">
        <v>124</v>
      </c>
      <c r="H205" s="175" t="s">
        <v>612</v>
      </c>
      <c r="I205" s="176">
        <v>2184000</v>
      </c>
      <c r="J205" s="177" t="s">
        <v>60</v>
      </c>
      <c r="K205" s="177" t="s">
        <v>48</v>
      </c>
      <c r="L205" s="178" t="s">
        <v>613</v>
      </c>
      <c r="M205" s="143" t="s">
        <v>614</v>
      </c>
      <c r="N205" s="145" t="str">
        <f t="shared" si="21"/>
        <v xml:space="preserve">Realizar el mantenimiento de  equipos (luces y sonido) LAE de la Facultad de Bellas Artes - UPN. </v>
      </c>
      <c r="O205" s="146">
        <v>1</v>
      </c>
      <c r="P205" s="146">
        <v>1</v>
      </c>
      <c r="Q205" s="147">
        <v>11</v>
      </c>
      <c r="R205" s="148" t="s">
        <v>51</v>
      </c>
      <c r="S205" s="149" t="s">
        <v>615</v>
      </c>
      <c r="T205" s="150" t="s">
        <v>53</v>
      </c>
      <c r="U205" s="151">
        <f t="shared" si="12"/>
        <v>2184000</v>
      </c>
      <c r="V205" s="152">
        <f t="shared" si="13"/>
        <v>2184000</v>
      </c>
      <c r="W205" s="153" t="s">
        <v>54</v>
      </c>
      <c r="X205" s="153" t="s">
        <v>55</v>
      </c>
      <c r="Y205" s="154" t="s">
        <v>56</v>
      </c>
      <c r="Z205" s="155" t="s">
        <v>57</v>
      </c>
      <c r="AA205" s="156" t="s">
        <v>240</v>
      </c>
      <c r="AB205" s="157" t="s">
        <v>58</v>
      </c>
      <c r="AC205" s="158" t="s">
        <v>59</v>
      </c>
      <c r="AD205" s="153" t="s">
        <v>54</v>
      </c>
      <c r="AE205" s="153" t="s">
        <v>60</v>
      </c>
      <c r="AF205" s="159" t="s">
        <v>61</v>
      </c>
      <c r="AG205" s="159" t="s">
        <v>62</v>
      </c>
      <c r="AH205" s="159" t="s">
        <v>63</v>
      </c>
      <c r="AI205" s="159" t="s">
        <v>64</v>
      </c>
      <c r="AJ205" s="159" t="s">
        <v>64</v>
      </c>
      <c r="AK205" s="197" t="s">
        <v>64</v>
      </c>
    </row>
    <row r="206" spans="1:41" ht="84.75" customHeight="1" thickBot="1" x14ac:dyDescent="0.25">
      <c r="A206" s="1"/>
      <c r="B206" s="196" t="s">
        <v>240</v>
      </c>
      <c r="C206" s="143">
        <v>1330</v>
      </c>
      <c r="D206" s="143" t="s">
        <v>611</v>
      </c>
      <c r="E206" s="143" t="s">
        <v>616</v>
      </c>
      <c r="F206" s="175" t="s">
        <v>126</v>
      </c>
      <c r="G206" s="175" t="s">
        <v>127</v>
      </c>
      <c r="H206" s="175" t="s">
        <v>617</v>
      </c>
      <c r="I206" s="176">
        <v>5000000</v>
      </c>
      <c r="J206" s="177" t="s">
        <v>60</v>
      </c>
      <c r="K206" s="177" t="s">
        <v>48</v>
      </c>
      <c r="L206" s="178" t="s">
        <v>618</v>
      </c>
      <c r="M206" s="143">
        <v>91111500</v>
      </c>
      <c r="N206" s="145" t="str">
        <f t="shared" si="21"/>
        <v>Prestar el servicio de Lavado de Vestuario LAE de la Facultad de Bellas Artes - UPN.</v>
      </c>
      <c r="O206" s="146">
        <v>1</v>
      </c>
      <c r="P206" s="146">
        <v>1</v>
      </c>
      <c r="Q206" s="147">
        <v>11</v>
      </c>
      <c r="R206" s="148" t="s">
        <v>51</v>
      </c>
      <c r="S206" s="149" t="s">
        <v>619</v>
      </c>
      <c r="T206" s="150" t="s">
        <v>53</v>
      </c>
      <c r="U206" s="151">
        <f t="shared" si="12"/>
        <v>5000000</v>
      </c>
      <c r="V206" s="152">
        <f t="shared" si="13"/>
        <v>5000000</v>
      </c>
      <c r="W206" s="153" t="s">
        <v>54</v>
      </c>
      <c r="X206" s="153" t="s">
        <v>55</v>
      </c>
      <c r="Y206" s="154" t="s">
        <v>56</v>
      </c>
      <c r="Z206" s="155" t="s">
        <v>57</v>
      </c>
      <c r="AA206" s="156" t="s">
        <v>240</v>
      </c>
      <c r="AB206" s="157" t="s">
        <v>58</v>
      </c>
      <c r="AC206" s="158" t="s">
        <v>59</v>
      </c>
      <c r="AD206" s="153" t="s">
        <v>54</v>
      </c>
      <c r="AE206" s="153" t="s">
        <v>60</v>
      </c>
      <c r="AF206" s="159" t="s">
        <v>61</v>
      </c>
      <c r="AG206" s="159" t="s">
        <v>62</v>
      </c>
      <c r="AH206" s="159" t="s">
        <v>63</v>
      </c>
      <c r="AI206" s="159" t="s">
        <v>64</v>
      </c>
      <c r="AJ206" s="159" t="s">
        <v>64</v>
      </c>
      <c r="AK206" s="197" t="s">
        <v>64</v>
      </c>
    </row>
    <row r="207" spans="1:41" ht="84.75" customHeight="1" thickBot="1" x14ac:dyDescent="0.25">
      <c r="A207" s="1"/>
      <c r="B207" s="196" t="s">
        <v>240</v>
      </c>
      <c r="C207" s="143">
        <v>1330</v>
      </c>
      <c r="D207" s="143" t="s">
        <v>611</v>
      </c>
      <c r="E207" s="143" t="s">
        <v>616</v>
      </c>
      <c r="F207" s="175" t="s">
        <v>123</v>
      </c>
      <c r="G207" s="175" t="s">
        <v>124</v>
      </c>
      <c r="H207" s="175" t="s">
        <v>620</v>
      </c>
      <c r="I207" s="176">
        <v>28000000</v>
      </c>
      <c r="J207" s="177" t="s">
        <v>244</v>
      </c>
      <c r="K207" s="177" t="s">
        <v>244</v>
      </c>
      <c r="L207" s="178" t="s">
        <v>621</v>
      </c>
      <c r="M207" s="143">
        <v>72154200</v>
      </c>
      <c r="N207" s="145" t="str">
        <f t="shared" si="21"/>
        <v>Prestar los servicios de mantenimiento para los  instrumentos musicales de la Facultad de Bellas Artes</v>
      </c>
      <c r="O207" s="146">
        <v>1</v>
      </c>
      <c r="P207" s="146">
        <v>1</v>
      </c>
      <c r="Q207" s="147">
        <v>11</v>
      </c>
      <c r="R207" s="148" t="s">
        <v>51</v>
      </c>
      <c r="S207" s="149" t="s">
        <v>622</v>
      </c>
      <c r="T207" s="150" t="s">
        <v>53</v>
      </c>
      <c r="U207" s="151">
        <f t="shared" si="12"/>
        <v>28000000</v>
      </c>
      <c r="V207" s="152">
        <f t="shared" si="13"/>
        <v>28000000</v>
      </c>
      <c r="W207" s="153" t="s">
        <v>54</v>
      </c>
      <c r="X207" s="153" t="s">
        <v>55</v>
      </c>
      <c r="Y207" s="154" t="s">
        <v>56</v>
      </c>
      <c r="Z207" s="155" t="s">
        <v>57</v>
      </c>
      <c r="AA207" s="156" t="s">
        <v>240</v>
      </c>
      <c r="AB207" s="157" t="s">
        <v>58</v>
      </c>
      <c r="AC207" s="158" t="s">
        <v>59</v>
      </c>
      <c r="AD207" s="153" t="s">
        <v>54</v>
      </c>
      <c r="AE207" s="153" t="s">
        <v>60</v>
      </c>
      <c r="AF207" s="159" t="s">
        <v>61</v>
      </c>
      <c r="AG207" s="159" t="s">
        <v>62</v>
      </c>
      <c r="AH207" s="159" t="s">
        <v>63</v>
      </c>
      <c r="AI207" s="159" t="s">
        <v>64</v>
      </c>
      <c r="AJ207" s="159" t="s">
        <v>64</v>
      </c>
      <c r="AK207" s="197" t="s">
        <v>64</v>
      </c>
    </row>
    <row r="208" spans="1:41" ht="84.75" customHeight="1" thickBot="1" x14ac:dyDescent="0.25">
      <c r="A208" s="1"/>
      <c r="B208" s="196" t="s">
        <v>240</v>
      </c>
      <c r="C208" s="143">
        <v>1330</v>
      </c>
      <c r="D208" s="143" t="s">
        <v>611</v>
      </c>
      <c r="E208" s="143" t="s">
        <v>616</v>
      </c>
      <c r="F208" s="175" t="s">
        <v>123</v>
      </c>
      <c r="G208" s="175" t="s">
        <v>124</v>
      </c>
      <c r="H208" s="175" t="s">
        <v>623</v>
      </c>
      <c r="I208" s="176">
        <v>10000000</v>
      </c>
      <c r="J208" s="177" t="s">
        <v>60</v>
      </c>
      <c r="K208" s="177" t="s">
        <v>48</v>
      </c>
      <c r="L208" s="178" t="s">
        <v>624</v>
      </c>
      <c r="M208" s="143" t="s">
        <v>614</v>
      </c>
      <c r="N208" s="145" t="str">
        <f t="shared" si="21"/>
        <v>Prestar el servicio de mantenimiento para los equipos de laboratorios y talleres de los programas de la Facultad de Bellas Artes de la Universidad Pedagógica 
Nacional.</v>
      </c>
      <c r="O208" s="146">
        <v>1</v>
      </c>
      <c r="P208" s="146">
        <v>1</v>
      </c>
      <c r="Q208" s="147">
        <v>11</v>
      </c>
      <c r="R208" s="148" t="s">
        <v>51</v>
      </c>
      <c r="S208" s="149" t="s">
        <v>625</v>
      </c>
      <c r="T208" s="150" t="s">
        <v>53</v>
      </c>
      <c r="U208" s="151">
        <f t="shared" si="12"/>
        <v>10000000</v>
      </c>
      <c r="V208" s="152">
        <f t="shared" si="13"/>
        <v>10000000</v>
      </c>
      <c r="W208" s="153" t="s">
        <v>54</v>
      </c>
      <c r="X208" s="153" t="s">
        <v>55</v>
      </c>
      <c r="Y208" s="154" t="s">
        <v>56</v>
      </c>
      <c r="Z208" s="155" t="s">
        <v>57</v>
      </c>
      <c r="AA208" s="156" t="s">
        <v>240</v>
      </c>
      <c r="AB208" s="157" t="s">
        <v>58</v>
      </c>
      <c r="AC208" s="158" t="s">
        <v>59</v>
      </c>
      <c r="AD208" s="153" t="s">
        <v>54</v>
      </c>
      <c r="AE208" s="153" t="s">
        <v>60</v>
      </c>
      <c r="AF208" s="159" t="s">
        <v>61</v>
      </c>
      <c r="AG208" s="159" t="s">
        <v>62</v>
      </c>
      <c r="AH208" s="159" t="s">
        <v>63</v>
      </c>
      <c r="AI208" s="159" t="s">
        <v>64</v>
      </c>
      <c r="AJ208" s="159" t="s">
        <v>64</v>
      </c>
      <c r="AK208" s="197" t="s">
        <v>64</v>
      </c>
    </row>
    <row r="209" spans="1:41" s="30" customFormat="1" ht="84.75" customHeight="1" thickBot="1" x14ac:dyDescent="0.25">
      <c r="A209" s="1"/>
      <c r="B209" s="196" t="s">
        <v>240</v>
      </c>
      <c r="C209" s="143">
        <v>1330</v>
      </c>
      <c r="D209" s="143" t="s">
        <v>611</v>
      </c>
      <c r="E209" s="143" t="s">
        <v>616</v>
      </c>
      <c r="F209" s="175" t="s">
        <v>123</v>
      </c>
      <c r="G209" s="175" t="s">
        <v>124</v>
      </c>
      <c r="H209" s="175" t="s">
        <v>626</v>
      </c>
      <c r="I209" s="176">
        <v>50000000</v>
      </c>
      <c r="J209" s="177" t="s">
        <v>60</v>
      </c>
      <c r="K209" s="177" t="s">
        <v>48</v>
      </c>
      <c r="L209" s="178" t="s">
        <v>627</v>
      </c>
      <c r="M209" s="143">
        <v>81141600</v>
      </c>
      <c r="N209" s="145" t="str">
        <f t="shared" si="21"/>
        <v>Contratar el servicio de logística, preproducción y creación teatral con el fin de amparar las actividades de los Montajes correspondientes a los Procesos Autónomos de Creación - Teatro Circular 2024, de la Licenciatura en Artes Escénicas de la Facultad de Bellas Artes de la Universidad Pedagógica Nacional.</v>
      </c>
      <c r="O209" s="146">
        <v>1</v>
      </c>
      <c r="P209" s="146">
        <v>1</v>
      </c>
      <c r="Q209" s="147">
        <v>11</v>
      </c>
      <c r="R209" s="148" t="s">
        <v>51</v>
      </c>
      <c r="S209" s="149" t="s">
        <v>628</v>
      </c>
      <c r="T209" s="150" t="s">
        <v>53</v>
      </c>
      <c r="U209" s="151">
        <f t="shared" si="12"/>
        <v>50000000</v>
      </c>
      <c r="V209" s="152">
        <f t="shared" si="13"/>
        <v>50000000</v>
      </c>
      <c r="W209" s="153" t="s">
        <v>54</v>
      </c>
      <c r="X209" s="153" t="s">
        <v>55</v>
      </c>
      <c r="Y209" s="154" t="s">
        <v>56</v>
      </c>
      <c r="Z209" s="155" t="s">
        <v>57</v>
      </c>
      <c r="AA209" s="156" t="s">
        <v>240</v>
      </c>
      <c r="AB209" s="157" t="s">
        <v>58</v>
      </c>
      <c r="AC209" s="158" t="s">
        <v>59</v>
      </c>
      <c r="AD209" s="153" t="s">
        <v>54</v>
      </c>
      <c r="AE209" s="153" t="s">
        <v>60</v>
      </c>
      <c r="AF209" s="159" t="s">
        <v>61</v>
      </c>
      <c r="AG209" s="159" t="s">
        <v>62</v>
      </c>
      <c r="AH209" s="159" t="s">
        <v>63</v>
      </c>
      <c r="AI209" s="159" t="s">
        <v>64</v>
      </c>
      <c r="AJ209" s="159" t="s">
        <v>64</v>
      </c>
      <c r="AK209" s="197" t="s">
        <v>64</v>
      </c>
      <c r="AL209" s="42"/>
      <c r="AM209" s="42"/>
      <c r="AN209" s="42"/>
      <c r="AO209" s="42"/>
    </row>
    <row r="210" spans="1:41" s="30" customFormat="1" ht="84.75" customHeight="1" thickBot="1" x14ac:dyDescent="0.25">
      <c r="A210" s="1"/>
      <c r="B210" s="196" t="s">
        <v>240</v>
      </c>
      <c r="C210" s="143">
        <v>1330</v>
      </c>
      <c r="D210" s="143" t="s">
        <v>611</v>
      </c>
      <c r="E210" s="143" t="s">
        <v>616</v>
      </c>
      <c r="F210" s="175" t="s">
        <v>111</v>
      </c>
      <c r="G210" s="175" t="s">
        <v>112</v>
      </c>
      <c r="H210" s="175" t="s">
        <v>629</v>
      </c>
      <c r="I210" s="176">
        <f>21000000-10790270</f>
        <v>10209730</v>
      </c>
      <c r="J210" s="177" t="s">
        <v>60</v>
      </c>
      <c r="K210" s="177" t="s">
        <v>48</v>
      </c>
      <c r="L210" s="178" t="s">
        <v>630</v>
      </c>
      <c r="M210" s="143" t="s">
        <v>631</v>
      </c>
      <c r="N210" s="237" t="str">
        <f t="shared" si="21"/>
        <v>Adquirir materiales y suministros necesarios para el desarrollo de las actividades académicas (Teatro 
Circular, Semana LAV, Curadurías, Interludios, Semana LAE y Prácticas Pedagógicas) de los programas de la Facultad de Bellas Artes de la Universidad Pedagógica 
Nacional.</v>
      </c>
      <c r="O210" s="146">
        <v>1</v>
      </c>
      <c r="P210" s="146">
        <v>1</v>
      </c>
      <c r="Q210" s="147">
        <v>11</v>
      </c>
      <c r="R210" s="148" t="s">
        <v>51</v>
      </c>
      <c r="S210" s="149" t="s">
        <v>632</v>
      </c>
      <c r="T210" s="150" t="s">
        <v>53</v>
      </c>
      <c r="U210" s="151">
        <f t="shared" si="12"/>
        <v>10209730</v>
      </c>
      <c r="V210" s="152">
        <f t="shared" si="13"/>
        <v>10209730</v>
      </c>
      <c r="W210" s="153" t="s">
        <v>54</v>
      </c>
      <c r="X210" s="153" t="s">
        <v>55</v>
      </c>
      <c r="Y210" s="154" t="s">
        <v>56</v>
      </c>
      <c r="Z210" s="155" t="s">
        <v>57</v>
      </c>
      <c r="AA210" s="156" t="s">
        <v>240</v>
      </c>
      <c r="AB210" s="157" t="s">
        <v>58</v>
      </c>
      <c r="AC210" s="158" t="s">
        <v>59</v>
      </c>
      <c r="AD210" s="153" t="s">
        <v>54</v>
      </c>
      <c r="AE210" s="153" t="s">
        <v>60</v>
      </c>
      <c r="AF210" s="159" t="s">
        <v>61</v>
      </c>
      <c r="AG210" s="159" t="s">
        <v>62</v>
      </c>
      <c r="AH210" s="159" t="s">
        <v>63</v>
      </c>
      <c r="AI210" s="159" t="s">
        <v>64</v>
      </c>
      <c r="AJ210" s="159" t="s">
        <v>64</v>
      </c>
      <c r="AK210" s="197" t="s">
        <v>64</v>
      </c>
      <c r="AL210" s="42"/>
      <c r="AM210" s="42"/>
      <c r="AN210" s="42"/>
      <c r="AO210" s="42"/>
    </row>
    <row r="211" spans="1:41" s="30" customFormat="1" ht="84.75" customHeight="1" thickBot="1" x14ac:dyDescent="0.25">
      <c r="A211" s="1"/>
      <c r="B211" s="196" t="s">
        <v>240</v>
      </c>
      <c r="C211" s="143">
        <v>1330</v>
      </c>
      <c r="D211" s="143" t="s">
        <v>611</v>
      </c>
      <c r="E211" s="143" t="s">
        <v>616</v>
      </c>
      <c r="F211" s="175" t="s">
        <v>114</v>
      </c>
      <c r="G211" s="175" t="s">
        <v>115</v>
      </c>
      <c r="H211" s="175" t="s">
        <v>629</v>
      </c>
      <c r="I211" s="176">
        <v>4000000</v>
      </c>
      <c r="J211" s="177" t="s">
        <v>60</v>
      </c>
      <c r="K211" s="177" t="s">
        <v>48</v>
      </c>
      <c r="L211" s="178" t="s">
        <v>630</v>
      </c>
      <c r="M211" s="143" t="s">
        <v>633</v>
      </c>
      <c r="N211" s="237"/>
      <c r="O211" s="146">
        <v>1</v>
      </c>
      <c r="P211" s="146">
        <v>1</v>
      </c>
      <c r="Q211" s="147">
        <v>11</v>
      </c>
      <c r="R211" s="148" t="s">
        <v>51</v>
      </c>
      <c r="S211" s="149" t="s">
        <v>634</v>
      </c>
      <c r="T211" s="150" t="s">
        <v>53</v>
      </c>
      <c r="U211" s="151">
        <f t="shared" si="12"/>
        <v>4000000</v>
      </c>
      <c r="V211" s="152">
        <f t="shared" si="13"/>
        <v>4000000</v>
      </c>
      <c r="W211" s="153" t="s">
        <v>54</v>
      </c>
      <c r="X211" s="153" t="s">
        <v>55</v>
      </c>
      <c r="Y211" s="154" t="s">
        <v>56</v>
      </c>
      <c r="Z211" s="155" t="s">
        <v>57</v>
      </c>
      <c r="AA211" s="156" t="s">
        <v>240</v>
      </c>
      <c r="AB211" s="157" t="s">
        <v>58</v>
      </c>
      <c r="AC211" s="158" t="s">
        <v>59</v>
      </c>
      <c r="AD211" s="153" t="s">
        <v>54</v>
      </c>
      <c r="AE211" s="153" t="s">
        <v>60</v>
      </c>
      <c r="AF211" s="159" t="s">
        <v>61</v>
      </c>
      <c r="AG211" s="159" t="s">
        <v>62</v>
      </c>
      <c r="AH211" s="159" t="s">
        <v>63</v>
      </c>
      <c r="AI211" s="159" t="s">
        <v>64</v>
      </c>
      <c r="AJ211" s="159" t="s">
        <v>64</v>
      </c>
      <c r="AK211" s="197" t="s">
        <v>64</v>
      </c>
      <c r="AL211" s="42"/>
      <c r="AM211" s="42"/>
      <c r="AN211" s="42"/>
      <c r="AO211" s="42"/>
    </row>
    <row r="212" spans="1:41" s="30" customFormat="1" ht="84.75" customHeight="1" thickBot="1" x14ac:dyDescent="0.25">
      <c r="A212" s="1"/>
      <c r="B212" s="196" t="s">
        <v>240</v>
      </c>
      <c r="C212" s="143">
        <v>1330</v>
      </c>
      <c r="D212" s="143" t="s">
        <v>611</v>
      </c>
      <c r="E212" s="143" t="s">
        <v>616</v>
      </c>
      <c r="F212" s="175" t="s">
        <v>114</v>
      </c>
      <c r="G212" s="175" t="s">
        <v>115</v>
      </c>
      <c r="H212" s="175" t="s">
        <v>635</v>
      </c>
      <c r="I212" s="176">
        <f>11135000-(6319200+4815800)</f>
        <v>0</v>
      </c>
      <c r="J212" s="177" t="s">
        <v>60</v>
      </c>
      <c r="K212" s="177" t="s">
        <v>48</v>
      </c>
      <c r="L212" s="178" t="s">
        <v>636</v>
      </c>
      <c r="M212" s="143" t="s">
        <v>633</v>
      </c>
      <c r="N212" s="145" t="str">
        <f>H212</f>
        <v>Contratar la adquisición de materiales y suministros necesarios para el desarrollo de la actividades  de la Facultad de Bellas Artes de la Universidad Pedagógica 
Nacional.</v>
      </c>
      <c r="O212" s="146">
        <v>1</v>
      </c>
      <c r="P212" s="146">
        <v>1</v>
      </c>
      <c r="Q212" s="147">
        <v>11</v>
      </c>
      <c r="R212" s="148" t="s">
        <v>51</v>
      </c>
      <c r="S212" s="149" t="s">
        <v>637</v>
      </c>
      <c r="T212" s="150" t="s">
        <v>53</v>
      </c>
      <c r="U212" s="151">
        <f t="shared" si="12"/>
        <v>0</v>
      </c>
      <c r="V212" s="152">
        <f t="shared" si="13"/>
        <v>0</v>
      </c>
      <c r="W212" s="153" t="s">
        <v>54</v>
      </c>
      <c r="X212" s="153" t="s">
        <v>55</v>
      </c>
      <c r="Y212" s="154" t="s">
        <v>56</v>
      </c>
      <c r="Z212" s="155" t="s">
        <v>57</v>
      </c>
      <c r="AA212" s="156" t="s">
        <v>240</v>
      </c>
      <c r="AB212" s="157" t="s">
        <v>58</v>
      </c>
      <c r="AC212" s="158" t="s">
        <v>59</v>
      </c>
      <c r="AD212" s="153" t="s">
        <v>54</v>
      </c>
      <c r="AE212" s="153" t="s">
        <v>60</v>
      </c>
      <c r="AF212" s="159" t="s">
        <v>61</v>
      </c>
      <c r="AG212" s="159" t="s">
        <v>62</v>
      </c>
      <c r="AH212" s="159" t="s">
        <v>63</v>
      </c>
      <c r="AI212" s="159" t="s">
        <v>64</v>
      </c>
      <c r="AJ212" s="159" t="s">
        <v>64</v>
      </c>
      <c r="AK212" s="197" t="s">
        <v>64</v>
      </c>
      <c r="AL212" s="42"/>
      <c r="AM212" s="42"/>
      <c r="AN212" s="42"/>
      <c r="AO212" s="42"/>
    </row>
    <row r="213" spans="1:41" s="30" customFormat="1" ht="84.75" customHeight="1" thickBot="1" x14ac:dyDescent="0.25">
      <c r="A213" s="1"/>
      <c r="B213" s="196" t="s">
        <v>42</v>
      </c>
      <c r="C213" s="143">
        <v>1331</v>
      </c>
      <c r="D213" s="143" t="s">
        <v>67</v>
      </c>
      <c r="E213" s="143" t="s">
        <v>44</v>
      </c>
      <c r="F213" s="175" t="s">
        <v>68</v>
      </c>
      <c r="G213" s="175" t="s">
        <v>69</v>
      </c>
      <c r="H213" s="175" t="s">
        <v>638</v>
      </c>
      <c r="I213" s="176">
        <v>2500000</v>
      </c>
      <c r="J213" s="177" t="s">
        <v>48</v>
      </c>
      <c r="K213" s="177" t="s">
        <v>48</v>
      </c>
      <c r="L213" s="178" t="s">
        <v>639</v>
      </c>
      <c r="M213" s="143" t="s">
        <v>50</v>
      </c>
      <c r="N213" s="145" t="str">
        <f>H213</f>
        <v>Amparar la compra de un aire acondicionado y sus accesorios para la refrigeración de los servidores ubicados en el Datacenter de la Universidad Pedagógica Nacional, para mantener los niveles adecuados de refrigeración de los equipos</v>
      </c>
      <c r="O213" s="146">
        <v>1</v>
      </c>
      <c r="P213" s="146">
        <v>1</v>
      </c>
      <c r="Q213" s="147">
        <v>11</v>
      </c>
      <c r="R213" s="148" t="s">
        <v>51</v>
      </c>
      <c r="S213" s="149" t="s">
        <v>232</v>
      </c>
      <c r="T213" s="150" t="s">
        <v>53</v>
      </c>
      <c r="U213" s="151">
        <f t="shared" si="12"/>
        <v>2500000</v>
      </c>
      <c r="V213" s="152">
        <f t="shared" si="13"/>
        <v>2500000</v>
      </c>
      <c r="W213" s="153" t="s">
        <v>54</v>
      </c>
      <c r="X213" s="153" t="s">
        <v>55</v>
      </c>
      <c r="Y213" s="154" t="s">
        <v>56</v>
      </c>
      <c r="Z213" s="155" t="s">
        <v>57</v>
      </c>
      <c r="AA213" s="156" t="s">
        <v>42</v>
      </c>
      <c r="AB213" s="157" t="s">
        <v>58</v>
      </c>
      <c r="AC213" s="158" t="s">
        <v>59</v>
      </c>
      <c r="AD213" s="153" t="s">
        <v>54</v>
      </c>
      <c r="AE213" s="153" t="s">
        <v>60</v>
      </c>
      <c r="AF213" s="159" t="s">
        <v>61</v>
      </c>
      <c r="AG213" s="159" t="s">
        <v>62</v>
      </c>
      <c r="AH213" s="159" t="s">
        <v>63</v>
      </c>
      <c r="AI213" s="159" t="s">
        <v>64</v>
      </c>
      <c r="AJ213" s="159" t="s">
        <v>64</v>
      </c>
      <c r="AK213" s="197" t="s">
        <v>64</v>
      </c>
      <c r="AL213" s="42"/>
      <c r="AM213" s="42"/>
      <c r="AN213" s="42"/>
      <c r="AO213" s="42"/>
    </row>
    <row r="214" spans="1:41" s="30" customFormat="1" ht="84.75" customHeight="1" thickBot="1" x14ac:dyDescent="0.25">
      <c r="A214" s="1"/>
      <c r="B214" s="196" t="s">
        <v>240</v>
      </c>
      <c r="C214" s="143">
        <v>1340</v>
      </c>
      <c r="D214" s="143" t="s">
        <v>640</v>
      </c>
      <c r="E214" s="143" t="s">
        <v>44</v>
      </c>
      <c r="F214" s="175" t="s">
        <v>111</v>
      </c>
      <c r="G214" s="175" t="s">
        <v>112</v>
      </c>
      <c r="H214" s="175" t="s">
        <v>641</v>
      </c>
      <c r="I214" s="176">
        <v>13651033</v>
      </c>
      <c r="J214" s="177" t="s">
        <v>60</v>
      </c>
      <c r="K214" s="177" t="s">
        <v>48</v>
      </c>
      <c r="L214" s="178" t="s">
        <v>642</v>
      </c>
      <c r="M214" s="143" t="s">
        <v>643</v>
      </c>
      <c r="N214" s="237" t="str">
        <f>H214</f>
        <v>Suministrar materiales y reactivos para el Laboratorio del Departamento de Química de la Universidad Pedagógica Nacional.</v>
      </c>
      <c r="O214" s="153">
        <v>6</v>
      </c>
      <c r="P214" s="146">
        <v>7</v>
      </c>
      <c r="Q214" s="147">
        <v>5</v>
      </c>
      <c r="R214" s="148" t="s">
        <v>51</v>
      </c>
      <c r="S214" s="149" t="s">
        <v>644</v>
      </c>
      <c r="T214" s="150" t="s">
        <v>53</v>
      </c>
      <c r="U214" s="151">
        <f t="shared" ref="U214:U279" si="22">+I214</f>
        <v>13651033</v>
      </c>
      <c r="V214" s="152">
        <f t="shared" ref="V214:V279" si="23">+U214</f>
        <v>13651033</v>
      </c>
      <c r="W214" s="153" t="s">
        <v>54</v>
      </c>
      <c r="X214" s="153" t="s">
        <v>55</v>
      </c>
      <c r="Y214" s="154" t="s">
        <v>56</v>
      </c>
      <c r="Z214" s="155" t="s">
        <v>57</v>
      </c>
      <c r="AA214" s="156" t="s">
        <v>240</v>
      </c>
      <c r="AB214" s="157" t="s">
        <v>58</v>
      </c>
      <c r="AC214" s="158" t="s">
        <v>59</v>
      </c>
      <c r="AD214" s="153" t="s">
        <v>54</v>
      </c>
      <c r="AE214" s="153" t="s">
        <v>60</v>
      </c>
      <c r="AF214" s="159" t="s">
        <v>61</v>
      </c>
      <c r="AG214" s="159" t="s">
        <v>62</v>
      </c>
      <c r="AH214" s="159" t="s">
        <v>63</v>
      </c>
      <c r="AI214" s="159" t="s">
        <v>64</v>
      </c>
      <c r="AJ214" s="159" t="s">
        <v>64</v>
      </c>
      <c r="AK214" s="197" t="s">
        <v>64</v>
      </c>
      <c r="AL214" s="42"/>
      <c r="AM214" s="42"/>
      <c r="AN214" s="42"/>
      <c r="AO214" s="42"/>
    </row>
    <row r="215" spans="1:41" s="30" customFormat="1" ht="84.75" customHeight="1" thickBot="1" x14ac:dyDescent="0.25">
      <c r="A215" s="1"/>
      <c r="B215" s="196" t="s">
        <v>240</v>
      </c>
      <c r="C215" s="143">
        <v>1340</v>
      </c>
      <c r="D215" s="143" t="s">
        <v>640</v>
      </c>
      <c r="E215" s="143" t="s">
        <v>44</v>
      </c>
      <c r="F215" s="175" t="s">
        <v>114</v>
      </c>
      <c r="G215" s="175" t="s">
        <v>115</v>
      </c>
      <c r="H215" s="175" t="s">
        <v>641</v>
      </c>
      <c r="I215" s="176">
        <f>8500305+56617</f>
        <v>8556922</v>
      </c>
      <c r="J215" s="177" t="s">
        <v>60</v>
      </c>
      <c r="K215" s="177" t="s">
        <v>48</v>
      </c>
      <c r="L215" s="178" t="s">
        <v>642</v>
      </c>
      <c r="M215" s="143" t="s">
        <v>643</v>
      </c>
      <c r="N215" s="237"/>
      <c r="O215" s="153">
        <v>6</v>
      </c>
      <c r="P215" s="146">
        <v>7</v>
      </c>
      <c r="Q215" s="147">
        <v>5</v>
      </c>
      <c r="R215" s="148" t="s">
        <v>51</v>
      </c>
      <c r="S215" s="149" t="s">
        <v>645</v>
      </c>
      <c r="T215" s="150" t="s">
        <v>53</v>
      </c>
      <c r="U215" s="151">
        <f t="shared" si="22"/>
        <v>8556922</v>
      </c>
      <c r="V215" s="152">
        <f t="shared" si="23"/>
        <v>8556922</v>
      </c>
      <c r="W215" s="153" t="s">
        <v>54</v>
      </c>
      <c r="X215" s="153" t="s">
        <v>55</v>
      </c>
      <c r="Y215" s="154" t="s">
        <v>56</v>
      </c>
      <c r="Z215" s="155" t="s">
        <v>57</v>
      </c>
      <c r="AA215" s="156" t="s">
        <v>240</v>
      </c>
      <c r="AB215" s="157" t="s">
        <v>58</v>
      </c>
      <c r="AC215" s="158" t="s">
        <v>59</v>
      </c>
      <c r="AD215" s="153" t="s">
        <v>54</v>
      </c>
      <c r="AE215" s="153" t="s">
        <v>60</v>
      </c>
      <c r="AF215" s="159" t="s">
        <v>61</v>
      </c>
      <c r="AG215" s="159" t="s">
        <v>62</v>
      </c>
      <c r="AH215" s="159" t="s">
        <v>63</v>
      </c>
      <c r="AI215" s="159" t="s">
        <v>64</v>
      </c>
      <c r="AJ215" s="159" t="s">
        <v>64</v>
      </c>
      <c r="AK215" s="197" t="s">
        <v>64</v>
      </c>
      <c r="AL215" s="42"/>
      <c r="AM215" s="42"/>
      <c r="AN215" s="42"/>
      <c r="AO215" s="42"/>
    </row>
    <row r="216" spans="1:41" s="30" customFormat="1" ht="84.75" customHeight="1" thickBot="1" x14ac:dyDescent="0.25">
      <c r="A216" s="1"/>
      <c r="B216" s="196" t="s">
        <v>240</v>
      </c>
      <c r="C216" s="143">
        <v>1340</v>
      </c>
      <c r="D216" s="143" t="s">
        <v>640</v>
      </c>
      <c r="E216" s="143" t="s">
        <v>44</v>
      </c>
      <c r="F216" s="175" t="s">
        <v>111</v>
      </c>
      <c r="G216" s="175" t="s">
        <v>112</v>
      </c>
      <c r="H216" s="175" t="s">
        <v>646</v>
      </c>
      <c r="I216" s="176">
        <v>15705594</v>
      </c>
      <c r="J216" s="177" t="s">
        <v>60</v>
      </c>
      <c r="K216" s="177" t="s">
        <v>48</v>
      </c>
      <c r="L216" s="178" t="s">
        <v>647</v>
      </c>
      <c r="M216" s="143" t="s">
        <v>643</v>
      </c>
      <c r="N216" s="237" t="str">
        <f>H216</f>
        <v>Suministrar materiales y reactivos para Laboratorio Bioclinico del Departamento de Biología de la Universidad Pedagógica Nacional.</v>
      </c>
      <c r="O216" s="146">
        <v>1</v>
      </c>
      <c r="P216" s="146">
        <v>1</v>
      </c>
      <c r="Q216" s="147">
        <v>11</v>
      </c>
      <c r="R216" s="148" t="s">
        <v>51</v>
      </c>
      <c r="S216" s="149" t="s">
        <v>648</v>
      </c>
      <c r="T216" s="150" t="s">
        <v>53</v>
      </c>
      <c r="U216" s="151">
        <f t="shared" si="22"/>
        <v>15705594</v>
      </c>
      <c r="V216" s="152">
        <f t="shared" si="23"/>
        <v>15705594</v>
      </c>
      <c r="W216" s="153" t="s">
        <v>54</v>
      </c>
      <c r="X216" s="153" t="s">
        <v>55</v>
      </c>
      <c r="Y216" s="154" t="s">
        <v>56</v>
      </c>
      <c r="Z216" s="155" t="s">
        <v>57</v>
      </c>
      <c r="AA216" s="156" t="s">
        <v>240</v>
      </c>
      <c r="AB216" s="157" t="s">
        <v>58</v>
      </c>
      <c r="AC216" s="158" t="s">
        <v>59</v>
      </c>
      <c r="AD216" s="153" t="s">
        <v>54</v>
      </c>
      <c r="AE216" s="153" t="s">
        <v>60</v>
      </c>
      <c r="AF216" s="159" t="s">
        <v>61</v>
      </c>
      <c r="AG216" s="159" t="s">
        <v>62</v>
      </c>
      <c r="AH216" s="159" t="s">
        <v>63</v>
      </c>
      <c r="AI216" s="159" t="s">
        <v>64</v>
      </c>
      <c r="AJ216" s="159" t="s">
        <v>64</v>
      </c>
      <c r="AK216" s="197" t="s">
        <v>64</v>
      </c>
      <c r="AL216" s="42"/>
      <c r="AM216" s="42"/>
      <c r="AN216" s="42"/>
      <c r="AO216" s="42"/>
    </row>
    <row r="217" spans="1:41" s="30" customFormat="1" ht="84.75" customHeight="1" thickBot="1" x14ac:dyDescent="0.25">
      <c r="A217" s="1"/>
      <c r="B217" s="196" t="s">
        <v>240</v>
      </c>
      <c r="C217" s="143">
        <v>1340</v>
      </c>
      <c r="D217" s="143" t="s">
        <v>640</v>
      </c>
      <c r="E217" s="143" t="s">
        <v>44</v>
      </c>
      <c r="F217" s="175" t="s">
        <v>114</v>
      </c>
      <c r="G217" s="175" t="s">
        <v>115</v>
      </c>
      <c r="H217" s="175" t="s">
        <v>646</v>
      </c>
      <c r="I217" s="176">
        <v>1721811</v>
      </c>
      <c r="J217" s="177" t="s">
        <v>60</v>
      </c>
      <c r="K217" s="177" t="s">
        <v>48</v>
      </c>
      <c r="L217" s="178" t="s">
        <v>647</v>
      </c>
      <c r="M217" s="143" t="s">
        <v>643</v>
      </c>
      <c r="N217" s="237"/>
      <c r="O217" s="146">
        <v>1</v>
      </c>
      <c r="P217" s="146">
        <v>1</v>
      </c>
      <c r="Q217" s="147">
        <v>11</v>
      </c>
      <c r="R217" s="148" t="s">
        <v>51</v>
      </c>
      <c r="S217" s="149" t="s">
        <v>649</v>
      </c>
      <c r="T217" s="150" t="s">
        <v>53</v>
      </c>
      <c r="U217" s="151">
        <f t="shared" si="22"/>
        <v>1721811</v>
      </c>
      <c r="V217" s="152">
        <f t="shared" si="23"/>
        <v>1721811</v>
      </c>
      <c r="W217" s="153" t="s">
        <v>54</v>
      </c>
      <c r="X217" s="153" t="s">
        <v>55</v>
      </c>
      <c r="Y217" s="154" t="s">
        <v>56</v>
      </c>
      <c r="Z217" s="155" t="s">
        <v>57</v>
      </c>
      <c r="AA217" s="156" t="s">
        <v>240</v>
      </c>
      <c r="AB217" s="157" t="s">
        <v>58</v>
      </c>
      <c r="AC217" s="158" t="s">
        <v>59</v>
      </c>
      <c r="AD217" s="153" t="s">
        <v>54</v>
      </c>
      <c r="AE217" s="153" t="s">
        <v>60</v>
      </c>
      <c r="AF217" s="159" t="s">
        <v>61</v>
      </c>
      <c r="AG217" s="159" t="s">
        <v>62</v>
      </c>
      <c r="AH217" s="159" t="s">
        <v>63</v>
      </c>
      <c r="AI217" s="159" t="s">
        <v>64</v>
      </c>
      <c r="AJ217" s="159" t="s">
        <v>64</v>
      </c>
      <c r="AK217" s="197" t="s">
        <v>64</v>
      </c>
      <c r="AL217" s="42"/>
      <c r="AM217" s="42"/>
      <c r="AN217" s="42"/>
      <c r="AO217" s="42"/>
    </row>
    <row r="218" spans="1:41" s="30" customFormat="1" ht="84.75" customHeight="1" thickBot="1" x14ac:dyDescent="0.25">
      <c r="A218" s="1"/>
      <c r="B218" s="196" t="s">
        <v>240</v>
      </c>
      <c r="C218" s="143">
        <v>1340</v>
      </c>
      <c r="D218" s="143" t="s">
        <v>640</v>
      </c>
      <c r="E218" s="143" t="s">
        <v>44</v>
      </c>
      <c r="F218" s="175" t="s">
        <v>128</v>
      </c>
      <c r="G218" s="175" t="s">
        <v>650</v>
      </c>
      <c r="H218" s="175" t="s">
        <v>646</v>
      </c>
      <c r="I218" s="176">
        <v>1138475</v>
      </c>
      <c r="J218" s="177" t="s">
        <v>60</v>
      </c>
      <c r="K218" s="177" t="s">
        <v>48</v>
      </c>
      <c r="L218" s="178" t="s">
        <v>647</v>
      </c>
      <c r="M218" s="143" t="s">
        <v>643</v>
      </c>
      <c r="N218" s="237"/>
      <c r="O218" s="146">
        <v>1</v>
      </c>
      <c r="P218" s="146">
        <v>1</v>
      </c>
      <c r="Q218" s="147">
        <v>11</v>
      </c>
      <c r="R218" s="148" t="s">
        <v>51</v>
      </c>
      <c r="S218" s="149" t="s">
        <v>651</v>
      </c>
      <c r="T218" s="150" t="s">
        <v>53</v>
      </c>
      <c r="U218" s="151">
        <f t="shared" si="22"/>
        <v>1138475</v>
      </c>
      <c r="V218" s="152">
        <f t="shared" si="23"/>
        <v>1138475</v>
      </c>
      <c r="W218" s="153" t="s">
        <v>54</v>
      </c>
      <c r="X218" s="153" t="s">
        <v>55</v>
      </c>
      <c r="Y218" s="154" t="s">
        <v>56</v>
      </c>
      <c r="Z218" s="155" t="s">
        <v>57</v>
      </c>
      <c r="AA218" s="156" t="s">
        <v>240</v>
      </c>
      <c r="AB218" s="157" t="s">
        <v>58</v>
      </c>
      <c r="AC218" s="158" t="s">
        <v>59</v>
      </c>
      <c r="AD218" s="153" t="s">
        <v>54</v>
      </c>
      <c r="AE218" s="153" t="s">
        <v>60</v>
      </c>
      <c r="AF218" s="159" t="s">
        <v>61</v>
      </c>
      <c r="AG218" s="159" t="s">
        <v>62</v>
      </c>
      <c r="AH218" s="159" t="s">
        <v>63</v>
      </c>
      <c r="AI218" s="159" t="s">
        <v>64</v>
      </c>
      <c r="AJ218" s="159" t="s">
        <v>64</v>
      </c>
      <c r="AK218" s="197" t="s">
        <v>64</v>
      </c>
      <c r="AL218" s="42"/>
      <c r="AM218" s="42"/>
      <c r="AN218" s="42"/>
      <c r="AO218" s="42"/>
    </row>
    <row r="219" spans="1:41" s="30" customFormat="1" ht="84.75" customHeight="1" thickBot="1" x14ac:dyDescent="0.25">
      <c r="A219" s="1"/>
      <c r="B219" s="196" t="s">
        <v>240</v>
      </c>
      <c r="C219" s="143">
        <v>1340</v>
      </c>
      <c r="D219" s="143" t="s">
        <v>640</v>
      </c>
      <c r="E219" s="143" t="s">
        <v>44</v>
      </c>
      <c r="F219" s="175" t="s">
        <v>128</v>
      </c>
      <c r="G219" s="175" t="s">
        <v>650</v>
      </c>
      <c r="H219" s="175" t="s">
        <v>646</v>
      </c>
      <c r="I219" s="176">
        <v>0</v>
      </c>
      <c r="J219" s="177" t="s">
        <v>60</v>
      </c>
      <c r="K219" s="177" t="s">
        <v>48</v>
      </c>
      <c r="L219" s="178" t="s">
        <v>652</v>
      </c>
      <c r="M219" s="143" t="s">
        <v>643</v>
      </c>
      <c r="N219" s="145" t="str">
        <f>H219</f>
        <v>Suministrar materiales y reactivos para Laboratorio Bioclinico del Departamento de Biología de la Universidad Pedagógica Nacional.</v>
      </c>
      <c r="O219" s="146">
        <v>1</v>
      </c>
      <c r="P219" s="146">
        <v>1</v>
      </c>
      <c r="Q219" s="147">
        <v>11</v>
      </c>
      <c r="R219" s="148" t="s">
        <v>51</v>
      </c>
      <c r="S219" s="149" t="s">
        <v>651</v>
      </c>
      <c r="T219" s="150" t="s">
        <v>53</v>
      </c>
      <c r="U219" s="151">
        <f t="shared" si="22"/>
        <v>0</v>
      </c>
      <c r="V219" s="152">
        <f t="shared" si="23"/>
        <v>0</v>
      </c>
      <c r="W219" s="153" t="s">
        <v>54</v>
      </c>
      <c r="X219" s="153" t="s">
        <v>55</v>
      </c>
      <c r="Y219" s="154" t="s">
        <v>56</v>
      </c>
      <c r="Z219" s="155" t="s">
        <v>57</v>
      </c>
      <c r="AA219" s="156" t="s">
        <v>240</v>
      </c>
      <c r="AB219" s="157" t="s">
        <v>58</v>
      </c>
      <c r="AC219" s="158" t="s">
        <v>59</v>
      </c>
      <c r="AD219" s="153" t="s">
        <v>54</v>
      </c>
      <c r="AE219" s="153" t="s">
        <v>60</v>
      </c>
      <c r="AF219" s="159" t="s">
        <v>61</v>
      </c>
      <c r="AG219" s="159" t="s">
        <v>62</v>
      </c>
      <c r="AH219" s="159" t="s">
        <v>63</v>
      </c>
      <c r="AI219" s="159" t="s">
        <v>64</v>
      </c>
      <c r="AJ219" s="159" t="s">
        <v>64</v>
      </c>
      <c r="AK219" s="197" t="s">
        <v>64</v>
      </c>
      <c r="AL219" s="42"/>
      <c r="AM219" s="42"/>
      <c r="AN219" s="42"/>
      <c r="AO219" s="42"/>
    </row>
    <row r="220" spans="1:41" s="30" customFormat="1" ht="84.75" customHeight="1" thickBot="1" x14ac:dyDescent="0.25">
      <c r="A220" s="1"/>
      <c r="B220" s="196" t="s">
        <v>240</v>
      </c>
      <c r="C220" s="143">
        <v>1340</v>
      </c>
      <c r="D220" s="143" t="s">
        <v>640</v>
      </c>
      <c r="E220" s="143" t="s">
        <v>44</v>
      </c>
      <c r="F220" s="175" t="s">
        <v>111</v>
      </c>
      <c r="G220" s="175" t="s">
        <v>112</v>
      </c>
      <c r="H220" s="175" t="s">
        <v>653</v>
      </c>
      <c r="I220" s="176">
        <f>20000000-(7000000+7000000+1863540+1130500)</f>
        <v>3005960</v>
      </c>
      <c r="J220" s="177" t="s">
        <v>60</v>
      </c>
      <c r="K220" s="177" t="s">
        <v>48</v>
      </c>
      <c r="L220" s="178" t="s">
        <v>654</v>
      </c>
      <c r="M220" s="143" t="s">
        <v>643</v>
      </c>
      <c r="N220" s="237" t="str">
        <f>H220</f>
        <v>Suministrar materiales para el Departamento de Matemáticas de la Universidad Pedagógica Nacional.</v>
      </c>
      <c r="O220" s="153">
        <v>7</v>
      </c>
      <c r="P220" s="146">
        <v>8</v>
      </c>
      <c r="Q220" s="147">
        <v>4</v>
      </c>
      <c r="R220" s="148" t="s">
        <v>51</v>
      </c>
      <c r="S220" s="149" t="s">
        <v>655</v>
      </c>
      <c r="T220" s="150" t="s">
        <v>53</v>
      </c>
      <c r="U220" s="151">
        <f t="shared" si="22"/>
        <v>3005960</v>
      </c>
      <c r="V220" s="152">
        <f t="shared" si="23"/>
        <v>3005960</v>
      </c>
      <c r="W220" s="153" t="s">
        <v>54</v>
      </c>
      <c r="X220" s="153" t="s">
        <v>55</v>
      </c>
      <c r="Y220" s="154" t="s">
        <v>56</v>
      </c>
      <c r="Z220" s="155" t="s">
        <v>57</v>
      </c>
      <c r="AA220" s="156" t="s">
        <v>240</v>
      </c>
      <c r="AB220" s="157" t="s">
        <v>58</v>
      </c>
      <c r="AC220" s="158" t="s">
        <v>59</v>
      </c>
      <c r="AD220" s="153" t="s">
        <v>54</v>
      </c>
      <c r="AE220" s="153" t="s">
        <v>60</v>
      </c>
      <c r="AF220" s="159" t="s">
        <v>61</v>
      </c>
      <c r="AG220" s="159" t="s">
        <v>62</v>
      </c>
      <c r="AH220" s="159" t="s">
        <v>63</v>
      </c>
      <c r="AI220" s="159" t="s">
        <v>64</v>
      </c>
      <c r="AJ220" s="159" t="s">
        <v>64</v>
      </c>
      <c r="AK220" s="197" t="s">
        <v>64</v>
      </c>
      <c r="AL220" s="42"/>
      <c r="AM220" s="42"/>
      <c r="AN220" s="42"/>
      <c r="AO220" s="42"/>
    </row>
    <row r="221" spans="1:41" s="30" customFormat="1" ht="84.75" customHeight="1" thickBot="1" x14ac:dyDescent="0.25">
      <c r="A221" s="1"/>
      <c r="B221" s="196" t="s">
        <v>240</v>
      </c>
      <c r="C221" s="143">
        <v>1340</v>
      </c>
      <c r="D221" s="143" t="s">
        <v>640</v>
      </c>
      <c r="E221" s="143" t="s">
        <v>44</v>
      </c>
      <c r="F221" s="175" t="s">
        <v>128</v>
      </c>
      <c r="G221" s="175" t="s">
        <v>129</v>
      </c>
      <c r="H221" s="175" t="s">
        <v>656</v>
      </c>
      <c r="I221" s="176">
        <f>1188839-588839-600000</f>
        <v>0</v>
      </c>
      <c r="J221" s="177" t="s">
        <v>48</v>
      </c>
      <c r="K221" s="177" t="s">
        <v>48</v>
      </c>
      <c r="L221" s="178" t="s">
        <v>654</v>
      </c>
      <c r="M221" s="143" t="s">
        <v>643</v>
      </c>
      <c r="N221" s="237"/>
      <c r="O221" s="153">
        <v>7</v>
      </c>
      <c r="P221" s="146">
        <v>8</v>
      </c>
      <c r="Q221" s="147">
        <v>4</v>
      </c>
      <c r="R221" s="148" t="s">
        <v>51</v>
      </c>
      <c r="S221" s="149" t="s">
        <v>657</v>
      </c>
      <c r="T221" s="150" t="s">
        <v>53</v>
      </c>
      <c r="U221" s="151">
        <f t="shared" si="22"/>
        <v>0</v>
      </c>
      <c r="V221" s="152">
        <f t="shared" si="23"/>
        <v>0</v>
      </c>
      <c r="W221" s="153" t="s">
        <v>54</v>
      </c>
      <c r="X221" s="153" t="s">
        <v>55</v>
      </c>
      <c r="Y221" s="154" t="s">
        <v>56</v>
      </c>
      <c r="Z221" s="155" t="s">
        <v>57</v>
      </c>
      <c r="AA221" s="156" t="s">
        <v>240</v>
      </c>
      <c r="AB221" s="157" t="s">
        <v>58</v>
      </c>
      <c r="AC221" s="158" t="s">
        <v>59</v>
      </c>
      <c r="AD221" s="153" t="s">
        <v>54</v>
      </c>
      <c r="AE221" s="153" t="s">
        <v>60</v>
      </c>
      <c r="AF221" s="159" t="s">
        <v>61</v>
      </c>
      <c r="AG221" s="159" t="s">
        <v>62</v>
      </c>
      <c r="AH221" s="159" t="s">
        <v>63</v>
      </c>
      <c r="AI221" s="159" t="s">
        <v>64</v>
      </c>
      <c r="AJ221" s="159" t="s">
        <v>64</v>
      </c>
      <c r="AK221" s="197" t="s">
        <v>64</v>
      </c>
      <c r="AL221" s="42"/>
      <c r="AM221" s="42"/>
      <c r="AN221" s="42"/>
      <c r="AO221" s="42"/>
    </row>
    <row r="222" spans="1:41" ht="84.75" customHeight="1" thickBot="1" x14ac:dyDescent="0.25">
      <c r="A222" s="1"/>
      <c r="B222" s="196" t="s">
        <v>240</v>
      </c>
      <c r="C222" s="143">
        <v>1340</v>
      </c>
      <c r="D222" s="143" t="s">
        <v>640</v>
      </c>
      <c r="E222" s="143" t="s">
        <v>44</v>
      </c>
      <c r="F222" s="175" t="s">
        <v>114</v>
      </c>
      <c r="G222" s="175" t="s">
        <v>115</v>
      </c>
      <c r="H222" s="175" t="s">
        <v>653</v>
      </c>
      <c r="I222" s="176">
        <f>20000001-(8000000+8000000+2000390)</f>
        <v>1999611</v>
      </c>
      <c r="J222" s="177" t="s">
        <v>60</v>
      </c>
      <c r="K222" s="177" t="s">
        <v>48</v>
      </c>
      <c r="L222" s="178" t="s">
        <v>654</v>
      </c>
      <c r="M222" s="143" t="s">
        <v>643</v>
      </c>
      <c r="N222" s="237"/>
      <c r="O222" s="153">
        <v>7</v>
      </c>
      <c r="P222" s="146">
        <v>8</v>
      </c>
      <c r="Q222" s="147">
        <v>4</v>
      </c>
      <c r="R222" s="148" t="s">
        <v>51</v>
      </c>
      <c r="S222" s="149" t="s">
        <v>658</v>
      </c>
      <c r="T222" s="150" t="s">
        <v>53</v>
      </c>
      <c r="U222" s="151">
        <f t="shared" si="22"/>
        <v>1999611</v>
      </c>
      <c r="V222" s="152">
        <f t="shared" si="23"/>
        <v>1999611</v>
      </c>
      <c r="W222" s="153" t="s">
        <v>54</v>
      </c>
      <c r="X222" s="153" t="s">
        <v>55</v>
      </c>
      <c r="Y222" s="154" t="s">
        <v>56</v>
      </c>
      <c r="Z222" s="155" t="s">
        <v>57</v>
      </c>
      <c r="AA222" s="156" t="s">
        <v>240</v>
      </c>
      <c r="AB222" s="157" t="s">
        <v>58</v>
      </c>
      <c r="AC222" s="158" t="s">
        <v>59</v>
      </c>
      <c r="AD222" s="153" t="s">
        <v>54</v>
      </c>
      <c r="AE222" s="153" t="s">
        <v>60</v>
      </c>
      <c r="AF222" s="159" t="s">
        <v>61</v>
      </c>
      <c r="AG222" s="159" t="s">
        <v>62</v>
      </c>
      <c r="AH222" s="159" t="s">
        <v>63</v>
      </c>
      <c r="AI222" s="159" t="s">
        <v>64</v>
      </c>
      <c r="AJ222" s="159" t="s">
        <v>64</v>
      </c>
      <c r="AK222" s="197" t="s">
        <v>64</v>
      </c>
    </row>
    <row r="223" spans="1:41" ht="84.75" customHeight="1" thickBot="1" x14ac:dyDescent="0.25">
      <c r="A223" s="1"/>
      <c r="B223" s="196" t="s">
        <v>240</v>
      </c>
      <c r="C223" s="143">
        <v>1340</v>
      </c>
      <c r="D223" s="143" t="s">
        <v>640</v>
      </c>
      <c r="E223" s="143" t="s">
        <v>44</v>
      </c>
      <c r="F223" s="175" t="s">
        <v>123</v>
      </c>
      <c r="G223" s="175" t="s">
        <v>124</v>
      </c>
      <c r="H223" s="175" t="s">
        <v>659</v>
      </c>
      <c r="I223" s="176">
        <f>66697150-(2002770+13982500+39209786)</f>
        <v>11502094</v>
      </c>
      <c r="J223" s="177" t="s">
        <v>60</v>
      </c>
      <c r="K223" s="177" t="s">
        <v>48</v>
      </c>
      <c r="L223" s="178" t="s">
        <v>660</v>
      </c>
      <c r="M223" s="143" t="s">
        <v>661</v>
      </c>
      <c r="N223" s="145" t="str">
        <f>H223</f>
        <v>Prestar el servicio de mantenimiento para los equipos del  Laboratorio del Departamento de Física de la Universidad Pedagógica Nacional.</v>
      </c>
      <c r="O223" s="146">
        <v>1</v>
      </c>
      <c r="P223" s="146">
        <v>1</v>
      </c>
      <c r="Q223" s="147">
        <v>11</v>
      </c>
      <c r="R223" s="148" t="s">
        <v>51</v>
      </c>
      <c r="S223" s="149" t="s">
        <v>662</v>
      </c>
      <c r="T223" s="150" t="s">
        <v>53</v>
      </c>
      <c r="U223" s="151">
        <f t="shared" si="22"/>
        <v>11502094</v>
      </c>
      <c r="V223" s="152">
        <f t="shared" si="23"/>
        <v>11502094</v>
      </c>
      <c r="W223" s="153" t="s">
        <v>54</v>
      </c>
      <c r="X223" s="153" t="s">
        <v>55</v>
      </c>
      <c r="Y223" s="154" t="s">
        <v>56</v>
      </c>
      <c r="Z223" s="155" t="s">
        <v>57</v>
      </c>
      <c r="AA223" s="156" t="s">
        <v>240</v>
      </c>
      <c r="AB223" s="157" t="s">
        <v>58</v>
      </c>
      <c r="AC223" s="158" t="s">
        <v>59</v>
      </c>
      <c r="AD223" s="153" t="s">
        <v>54</v>
      </c>
      <c r="AE223" s="153" t="s">
        <v>60</v>
      </c>
      <c r="AF223" s="159" t="s">
        <v>61</v>
      </c>
      <c r="AG223" s="159" t="s">
        <v>62</v>
      </c>
      <c r="AH223" s="159" t="s">
        <v>63</v>
      </c>
      <c r="AI223" s="159" t="s">
        <v>64</v>
      </c>
      <c r="AJ223" s="159" t="s">
        <v>64</v>
      </c>
      <c r="AK223" s="197" t="s">
        <v>64</v>
      </c>
    </row>
    <row r="224" spans="1:41" ht="84.75" customHeight="1" thickBot="1" x14ac:dyDescent="0.25">
      <c r="A224" s="1"/>
      <c r="B224" s="196" t="s">
        <v>42</v>
      </c>
      <c r="C224" s="143">
        <v>1420</v>
      </c>
      <c r="D224" s="143" t="s">
        <v>663</v>
      </c>
      <c r="E224" s="143" t="s">
        <v>132</v>
      </c>
      <c r="F224" s="175" t="s">
        <v>664</v>
      </c>
      <c r="G224" s="175" t="s">
        <v>665</v>
      </c>
      <c r="H224" s="175" t="s">
        <v>666</v>
      </c>
      <c r="I224" s="176">
        <f>16336230+1850778</f>
        <v>18187008</v>
      </c>
      <c r="J224" s="177" t="s">
        <v>60</v>
      </c>
      <c r="K224" s="177" t="s">
        <v>48</v>
      </c>
      <c r="L224" s="178" t="s">
        <v>667</v>
      </c>
      <c r="M224" s="143" t="s">
        <v>668</v>
      </c>
      <c r="N224" s="145" t="str">
        <f>H224</f>
        <v>Adquirir el accesorio VS9 con cuchillas y araña para el cutter del restaurante de la Universidad Pedagogíca Nacional.</v>
      </c>
      <c r="O224" s="146">
        <v>6</v>
      </c>
      <c r="P224" s="146">
        <v>1</v>
      </c>
      <c r="Q224" s="147">
        <v>5</v>
      </c>
      <c r="R224" s="148" t="s">
        <v>51</v>
      </c>
      <c r="S224" s="149" t="s">
        <v>669</v>
      </c>
      <c r="T224" s="150" t="s">
        <v>53</v>
      </c>
      <c r="U224" s="151">
        <f t="shared" si="22"/>
        <v>18187008</v>
      </c>
      <c r="V224" s="152">
        <f t="shared" si="23"/>
        <v>18187008</v>
      </c>
      <c r="W224" s="153" t="s">
        <v>54</v>
      </c>
      <c r="X224" s="153" t="s">
        <v>55</v>
      </c>
      <c r="Y224" s="154" t="s">
        <v>56</v>
      </c>
      <c r="Z224" s="155" t="s">
        <v>57</v>
      </c>
      <c r="AA224" s="156" t="s">
        <v>42</v>
      </c>
      <c r="AB224" s="157" t="s">
        <v>58</v>
      </c>
      <c r="AC224" s="158" t="s">
        <v>59</v>
      </c>
      <c r="AD224" s="153" t="s">
        <v>54</v>
      </c>
      <c r="AE224" s="153" t="s">
        <v>60</v>
      </c>
      <c r="AF224" s="159" t="s">
        <v>61</v>
      </c>
      <c r="AG224" s="159" t="s">
        <v>62</v>
      </c>
      <c r="AH224" s="159" t="s">
        <v>63</v>
      </c>
      <c r="AI224" s="159" t="s">
        <v>64</v>
      </c>
      <c r="AJ224" s="159" t="s">
        <v>64</v>
      </c>
      <c r="AK224" s="197" t="s">
        <v>64</v>
      </c>
    </row>
    <row r="225" spans="1:41" ht="84.75" customHeight="1" thickBot="1" x14ac:dyDescent="0.25">
      <c r="A225" s="1"/>
      <c r="B225" s="196" t="s">
        <v>42</v>
      </c>
      <c r="C225" s="143">
        <v>1410</v>
      </c>
      <c r="D225" s="143" t="s">
        <v>670</v>
      </c>
      <c r="E225" s="143" t="s">
        <v>132</v>
      </c>
      <c r="F225" s="175" t="s">
        <v>111</v>
      </c>
      <c r="G225" s="175" t="s">
        <v>112</v>
      </c>
      <c r="H225" s="175" t="s">
        <v>671</v>
      </c>
      <c r="I225" s="176">
        <v>63355600</v>
      </c>
      <c r="J225" s="177" t="s">
        <v>60</v>
      </c>
      <c r="K225" s="177" t="s">
        <v>48</v>
      </c>
      <c r="L225" s="178" t="s">
        <v>672</v>
      </c>
      <c r="M225" s="143">
        <v>47131800</v>
      </c>
      <c r="N225" s="145" t="str">
        <f>H225</f>
        <v>Suministrar los productos químicos de desinfección y limpieza requeridos para los restaurantes y cafeterías de la Universidad Pedagógica Nacional.</v>
      </c>
      <c r="O225" s="146">
        <v>1</v>
      </c>
      <c r="P225" s="146">
        <v>1</v>
      </c>
      <c r="Q225" s="147">
        <v>11</v>
      </c>
      <c r="R225" s="148" t="s">
        <v>51</v>
      </c>
      <c r="S225" s="149" t="s">
        <v>673</v>
      </c>
      <c r="T225" s="150" t="s">
        <v>53</v>
      </c>
      <c r="U225" s="151">
        <f t="shared" si="22"/>
        <v>63355600</v>
      </c>
      <c r="V225" s="152">
        <f t="shared" si="23"/>
        <v>63355600</v>
      </c>
      <c r="W225" s="153" t="s">
        <v>54</v>
      </c>
      <c r="X225" s="153" t="s">
        <v>55</v>
      </c>
      <c r="Y225" s="154" t="s">
        <v>56</v>
      </c>
      <c r="Z225" s="155" t="s">
        <v>57</v>
      </c>
      <c r="AA225" s="156" t="s">
        <v>42</v>
      </c>
      <c r="AB225" s="157" t="s">
        <v>58</v>
      </c>
      <c r="AC225" s="158" t="s">
        <v>59</v>
      </c>
      <c r="AD225" s="153" t="s">
        <v>54</v>
      </c>
      <c r="AE225" s="153" t="s">
        <v>60</v>
      </c>
      <c r="AF225" s="159" t="s">
        <v>61</v>
      </c>
      <c r="AG225" s="159" t="s">
        <v>62</v>
      </c>
      <c r="AH225" s="159" t="s">
        <v>63</v>
      </c>
      <c r="AI225" s="159" t="s">
        <v>64</v>
      </c>
      <c r="AJ225" s="159" t="s">
        <v>64</v>
      </c>
      <c r="AK225" s="197" t="s">
        <v>64</v>
      </c>
    </row>
    <row r="226" spans="1:41" ht="84.75" customHeight="1" thickBot="1" x14ac:dyDescent="0.25">
      <c r="A226" s="1"/>
      <c r="B226" s="196" t="s">
        <v>42</v>
      </c>
      <c r="C226" s="143">
        <v>1410</v>
      </c>
      <c r="D226" s="143" t="s">
        <v>670</v>
      </c>
      <c r="E226" s="143" t="s">
        <v>132</v>
      </c>
      <c r="F226" s="175" t="s">
        <v>108</v>
      </c>
      <c r="G226" s="175" t="s">
        <v>109</v>
      </c>
      <c r="H226" s="175" t="s">
        <v>674</v>
      </c>
      <c r="I226" s="176">
        <v>14149222</v>
      </c>
      <c r="J226" s="177" t="s">
        <v>60</v>
      </c>
      <c r="K226" s="177" t="s">
        <v>48</v>
      </c>
      <c r="L226" s="178" t="s">
        <v>675</v>
      </c>
      <c r="M226" s="143" t="s">
        <v>676</v>
      </c>
      <c r="N226" s="237" t="str">
        <f>H226</f>
        <v>Adquirir insumos para la producción de productos de panadería requeridos para las cafeterías de la Universidad Pedagógica Nacional.</v>
      </c>
      <c r="O226" s="146">
        <v>3</v>
      </c>
      <c r="P226" s="146">
        <v>9</v>
      </c>
      <c r="Q226" s="147">
        <v>11</v>
      </c>
      <c r="R226" s="148" t="s">
        <v>51</v>
      </c>
      <c r="S226" s="149" t="s">
        <v>677</v>
      </c>
      <c r="T226" s="150" t="s">
        <v>53</v>
      </c>
      <c r="U226" s="151">
        <f t="shared" si="22"/>
        <v>14149222</v>
      </c>
      <c r="V226" s="152">
        <f t="shared" si="23"/>
        <v>14149222</v>
      </c>
      <c r="W226" s="153" t="s">
        <v>54</v>
      </c>
      <c r="X226" s="153" t="s">
        <v>55</v>
      </c>
      <c r="Y226" s="154" t="s">
        <v>56</v>
      </c>
      <c r="Z226" s="155" t="s">
        <v>57</v>
      </c>
      <c r="AA226" s="156" t="s">
        <v>42</v>
      </c>
      <c r="AB226" s="157" t="s">
        <v>58</v>
      </c>
      <c r="AC226" s="158" t="s">
        <v>59</v>
      </c>
      <c r="AD226" s="153" t="s">
        <v>54</v>
      </c>
      <c r="AE226" s="153" t="s">
        <v>60</v>
      </c>
      <c r="AF226" s="159" t="s">
        <v>61</v>
      </c>
      <c r="AG226" s="159" t="s">
        <v>62</v>
      </c>
      <c r="AH226" s="159" t="s">
        <v>63</v>
      </c>
      <c r="AI226" s="159" t="s">
        <v>64</v>
      </c>
      <c r="AJ226" s="159" t="s">
        <v>64</v>
      </c>
      <c r="AK226" s="197" t="s">
        <v>64</v>
      </c>
    </row>
    <row r="227" spans="1:41" ht="84.75" customHeight="1" thickBot="1" x14ac:dyDescent="0.25">
      <c r="A227" s="1"/>
      <c r="B227" s="196" t="s">
        <v>42</v>
      </c>
      <c r="C227" s="143">
        <v>1410</v>
      </c>
      <c r="D227" s="143" t="s">
        <v>670</v>
      </c>
      <c r="E227" s="143" t="s">
        <v>132</v>
      </c>
      <c r="F227" s="175" t="s">
        <v>160</v>
      </c>
      <c r="G227" s="175" t="s">
        <v>161</v>
      </c>
      <c r="H227" s="175" t="s">
        <v>674</v>
      </c>
      <c r="I227" s="176">
        <v>800000</v>
      </c>
      <c r="J227" s="177" t="s">
        <v>60</v>
      </c>
      <c r="K227" s="177" t="s">
        <v>48</v>
      </c>
      <c r="L227" s="178" t="s">
        <v>675</v>
      </c>
      <c r="M227" s="143" t="s">
        <v>676</v>
      </c>
      <c r="N227" s="237"/>
      <c r="O227" s="146">
        <v>3</v>
      </c>
      <c r="P227" s="146">
        <v>9</v>
      </c>
      <c r="Q227" s="147">
        <v>11</v>
      </c>
      <c r="R227" s="148" t="s">
        <v>51</v>
      </c>
      <c r="S227" s="149" t="s">
        <v>678</v>
      </c>
      <c r="T227" s="150" t="s">
        <v>53</v>
      </c>
      <c r="U227" s="151">
        <f t="shared" si="22"/>
        <v>800000</v>
      </c>
      <c r="V227" s="152">
        <f t="shared" si="23"/>
        <v>800000</v>
      </c>
      <c r="W227" s="153" t="s">
        <v>54</v>
      </c>
      <c r="X227" s="153" t="s">
        <v>55</v>
      </c>
      <c r="Y227" s="154" t="s">
        <v>56</v>
      </c>
      <c r="Z227" s="155" t="s">
        <v>57</v>
      </c>
      <c r="AA227" s="156" t="s">
        <v>42</v>
      </c>
      <c r="AB227" s="157" t="s">
        <v>58</v>
      </c>
      <c r="AC227" s="158" t="s">
        <v>59</v>
      </c>
      <c r="AD227" s="153" t="s">
        <v>54</v>
      </c>
      <c r="AE227" s="153" t="s">
        <v>60</v>
      </c>
      <c r="AF227" s="159" t="s">
        <v>61</v>
      </c>
      <c r="AG227" s="159" t="s">
        <v>62</v>
      </c>
      <c r="AH227" s="159" t="s">
        <v>63</v>
      </c>
      <c r="AI227" s="159" t="s">
        <v>64</v>
      </c>
      <c r="AJ227" s="159" t="s">
        <v>64</v>
      </c>
      <c r="AK227" s="197" t="s">
        <v>64</v>
      </c>
    </row>
    <row r="228" spans="1:41" ht="84.75" customHeight="1" thickBot="1" x14ac:dyDescent="0.25">
      <c r="A228" s="1"/>
      <c r="B228" s="196" t="s">
        <v>42</v>
      </c>
      <c r="C228" s="143">
        <v>1410</v>
      </c>
      <c r="D228" s="143" t="s">
        <v>670</v>
      </c>
      <c r="E228" s="143" t="s">
        <v>132</v>
      </c>
      <c r="F228" s="175" t="s">
        <v>128</v>
      </c>
      <c r="G228" s="175" t="s">
        <v>129</v>
      </c>
      <c r="H228" s="175" t="s">
        <v>674</v>
      </c>
      <c r="I228" s="176">
        <f>160000000-(9332925+23710750)</f>
        <v>126956325</v>
      </c>
      <c r="J228" s="177" t="s">
        <v>60</v>
      </c>
      <c r="K228" s="177" t="s">
        <v>48</v>
      </c>
      <c r="L228" s="178" t="s">
        <v>675</v>
      </c>
      <c r="M228" s="143" t="s">
        <v>676</v>
      </c>
      <c r="N228" s="237"/>
      <c r="O228" s="146">
        <v>3</v>
      </c>
      <c r="P228" s="146">
        <v>9</v>
      </c>
      <c r="Q228" s="147">
        <v>11</v>
      </c>
      <c r="R228" s="148" t="s">
        <v>51</v>
      </c>
      <c r="S228" s="149" t="s">
        <v>679</v>
      </c>
      <c r="T228" s="150" t="s">
        <v>53</v>
      </c>
      <c r="U228" s="151">
        <f t="shared" si="22"/>
        <v>126956325</v>
      </c>
      <c r="V228" s="152">
        <f t="shared" si="23"/>
        <v>126956325</v>
      </c>
      <c r="W228" s="153" t="s">
        <v>54</v>
      </c>
      <c r="X228" s="153" t="s">
        <v>55</v>
      </c>
      <c r="Y228" s="154" t="s">
        <v>56</v>
      </c>
      <c r="Z228" s="155" t="s">
        <v>57</v>
      </c>
      <c r="AA228" s="156" t="s">
        <v>42</v>
      </c>
      <c r="AB228" s="157" t="s">
        <v>58</v>
      </c>
      <c r="AC228" s="158" t="s">
        <v>59</v>
      </c>
      <c r="AD228" s="153" t="s">
        <v>54</v>
      </c>
      <c r="AE228" s="153" t="s">
        <v>60</v>
      </c>
      <c r="AF228" s="159" t="s">
        <v>61</v>
      </c>
      <c r="AG228" s="159" t="s">
        <v>62</v>
      </c>
      <c r="AH228" s="159" t="s">
        <v>63</v>
      </c>
      <c r="AI228" s="159" t="s">
        <v>64</v>
      </c>
      <c r="AJ228" s="159" t="s">
        <v>64</v>
      </c>
      <c r="AK228" s="197" t="s">
        <v>64</v>
      </c>
    </row>
    <row r="229" spans="1:41" ht="84.75" customHeight="1" thickBot="1" x14ac:dyDescent="0.25">
      <c r="A229" s="1"/>
      <c r="B229" s="196" t="s">
        <v>42</v>
      </c>
      <c r="C229" s="143">
        <v>1410</v>
      </c>
      <c r="D229" s="143" t="s">
        <v>670</v>
      </c>
      <c r="E229" s="143" t="s">
        <v>132</v>
      </c>
      <c r="F229" s="175" t="s">
        <v>114</v>
      </c>
      <c r="G229" s="175" t="s">
        <v>115</v>
      </c>
      <c r="H229" s="175" t="s">
        <v>680</v>
      </c>
      <c r="I229" s="176">
        <v>5681950</v>
      </c>
      <c r="J229" s="177" t="s">
        <v>60</v>
      </c>
      <c r="K229" s="177" t="s">
        <v>54</v>
      </c>
      <c r="L229" s="178" t="s">
        <v>681</v>
      </c>
      <c r="M229" s="143" t="s">
        <v>682</v>
      </c>
      <c r="N229" s="160" t="str">
        <f>H229</f>
        <v>Suministrar los elementos de limpieza y cafetería requeridos para los restaurantes y cafeterías de la Universidad Pedagógica Nacional</v>
      </c>
      <c r="O229" s="146">
        <v>1</v>
      </c>
      <c r="P229" s="146">
        <v>1</v>
      </c>
      <c r="Q229" s="147">
        <v>11</v>
      </c>
      <c r="R229" s="148" t="s">
        <v>51</v>
      </c>
      <c r="S229" s="149" t="s">
        <v>683</v>
      </c>
      <c r="T229" s="150" t="s">
        <v>53</v>
      </c>
      <c r="U229" s="151">
        <f t="shared" si="22"/>
        <v>5681950</v>
      </c>
      <c r="V229" s="152">
        <f t="shared" si="23"/>
        <v>5681950</v>
      </c>
      <c r="W229" s="153" t="s">
        <v>54</v>
      </c>
      <c r="X229" s="153" t="s">
        <v>55</v>
      </c>
      <c r="Y229" s="154" t="s">
        <v>56</v>
      </c>
      <c r="Z229" s="155" t="s">
        <v>57</v>
      </c>
      <c r="AA229" s="156" t="s">
        <v>42</v>
      </c>
      <c r="AB229" s="157" t="s">
        <v>58</v>
      </c>
      <c r="AC229" s="158" t="s">
        <v>59</v>
      </c>
      <c r="AD229" s="153" t="s">
        <v>54</v>
      </c>
      <c r="AE229" s="153" t="s">
        <v>60</v>
      </c>
      <c r="AF229" s="159" t="s">
        <v>61</v>
      </c>
      <c r="AG229" s="159" t="s">
        <v>62</v>
      </c>
      <c r="AH229" s="159" t="s">
        <v>63</v>
      </c>
      <c r="AI229" s="159" t="s">
        <v>64</v>
      </c>
      <c r="AJ229" s="159" t="s">
        <v>64</v>
      </c>
      <c r="AK229" s="197" t="s">
        <v>64</v>
      </c>
    </row>
    <row r="230" spans="1:41" ht="84.75" customHeight="1" thickBot="1" x14ac:dyDescent="0.25">
      <c r="A230" s="1"/>
      <c r="B230" s="196" t="s">
        <v>42</v>
      </c>
      <c r="C230" s="143">
        <v>1410</v>
      </c>
      <c r="D230" s="143" t="s">
        <v>670</v>
      </c>
      <c r="E230" s="143" t="s">
        <v>132</v>
      </c>
      <c r="F230" s="175" t="s">
        <v>111</v>
      </c>
      <c r="G230" s="175" t="s">
        <v>112</v>
      </c>
      <c r="H230" s="175" t="s">
        <v>680</v>
      </c>
      <c r="I230" s="176">
        <v>56512200</v>
      </c>
      <c r="J230" s="177" t="s">
        <v>60</v>
      </c>
      <c r="K230" s="177" t="s">
        <v>48</v>
      </c>
      <c r="L230" s="178" t="s">
        <v>681</v>
      </c>
      <c r="M230" s="143" t="s">
        <v>682</v>
      </c>
      <c r="N230" s="160"/>
      <c r="O230" s="146">
        <v>1</v>
      </c>
      <c r="P230" s="146">
        <v>1</v>
      </c>
      <c r="Q230" s="147">
        <v>11</v>
      </c>
      <c r="R230" s="148" t="s">
        <v>51</v>
      </c>
      <c r="S230" s="149" t="s">
        <v>684</v>
      </c>
      <c r="T230" s="150" t="s">
        <v>53</v>
      </c>
      <c r="U230" s="151">
        <f t="shared" si="22"/>
        <v>56512200</v>
      </c>
      <c r="V230" s="152">
        <f t="shared" si="23"/>
        <v>56512200</v>
      </c>
      <c r="W230" s="153" t="s">
        <v>54</v>
      </c>
      <c r="X230" s="153" t="s">
        <v>55</v>
      </c>
      <c r="Y230" s="154" t="s">
        <v>56</v>
      </c>
      <c r="Z230" s="155" t="s">
        <v>57</v>
      </c>
      <c r="AA230" s="156" t="s">
        <v>42</v>
      </c>
      <c r="AB230" s="157" t="s">
        <v>58</v>
      </c>
      <c r="AC230" s="158" t="s">
        <v>59</v>
      </c>
      <c r="AD230" s="153" t="s">
        <v>54</v>
      </c>
      <c r="AE230" s="153" t="s">
        <v>60</v>
      </c>
      <c r="AF230" s="159" t="s">
        <v>61</v>
      </c>
      <c r="AG230" s="159" t="s">
        <v>62</v>
      </c>
      <c r="AH230" s="159" t="s">
        <v>63</v>
      </c>
      <c r="AI230" s="159" t="s">
        <v>64</v>
      </c>
      <c r="AJ230" s="159" t="s">
        <v>64</v>
      </c>
      <c r="AK230" s="197" t="s">
        <v>64</v>
      </c>
    </row>
    <row r="231" spans="1:41" ht="84.75" customHeight="1" thickBot="1" x14ac:dyDescent="0.25">
      <c r="A231" s="1"/>
      <c r="B231" s="196" t="s">
        <v>42</v>
      </c>
      <c r="C231" s="143">
        <v>1420</v>
      </c>
      <c r="D231" s="143" t="s">
        <v>663</v>
      </c>
      <c r="E231" s="143" t="s">
        <v>132</v>
      </c>
      <c r="F231" s="175" t="s">
        <v>117</v>
      </c>
      <c r="G231" s="175" t="s">
        <v>118</v>
      </c>
      <c r="H231" s="175" t="s">
        <v>685</v>
      </c>
      <c r="I231" s="176">
        <v>41692560</v>
      </c>
      <c r="J231" s="177" t="s">
        <v>60</v>
      </c>
      <c r="K231" s="177" t="s">
        <v>48</v>
      </c>
      <c r="L231" s="178" t="s">
        <v>686</v>
      </c>
      <c r="M231" s="143" t="s">
        <v>687</v>
      </c>
      <c r="N231" s="145" t="str">
        <f>H231</f>
        <v>Prestar el servicio de transporte de alimentos, para los restaurantes y cafeterías de la Universidad Pedagógica Nacional.</v>
      </c>
      <c r="O231" s="146">
        <v>1</v>
      </c>
      <c r="P231" s="146">
        <v>1</v>
      </c>
      <c r="Q231" s="147">
        <v>11</v>
      </c>
      <c r="R231" s="148" t="s">
        <v>51</v>
      </c>
      <c r="S231" s="149" t="s">
        <v>688</v>
      </c>
      <c r="T231" s="150" t="s">
        <v>53</v>
      </c>
      <c r="U231" s="151">
        <f t="shared" si="22"/>
        <v>41692560</v>
      </c>
      <c r="V231" s="152">
        <f t="shared" si="23"/>
        <v>41692560</v>
      </c>
      <c r="W231" s="153" t="s">
        <v>54</v>
      </c>
      <c r="X231" s="153" t="s">
        <v>55</v>
      </c>
      <c r="Y231" s="154" t="s">
        <v>56</v>
      </c>
      <c r="Z231" s="155" t="s">
        <v>57</v>
      </c>
      <c r="AA231" s="156" t="s">
        <v>42</v>
      </c>
      <c r="AB231" s="157" t="s">
        <v>58</v>
      </c>
      <c r="AC231" s="158" t="s">
        <v>59</v>
      </c>
      <c r="AD231" s="153" t="s">
        <v>54</v>
      </c>
      <c r="AE231" s="153" t="s">
        <v>60</v>
      </c>
      <c r="AF231" s="159" t="s">
        <v>61</v>
      </c>
      <c r="AG231" s="159" t="s">
        <v>62</v>
      </c>
      <c r="AH231" s="159" t="s">
        <v>63</v>
      </c>
      <c r="AI231" s="159" t="s">
        <v>64</v>
      </c>
      <c r="AJ231" s="159" t="s">
        <v>64</v>
      </c>
      <c r="AK231" s="197" t="s">
        <v>64</v>
      </c>
    </row>
    <row r="232" spans="1:41" ht="84.75" customHeight="1" thickBot="1" x14ac:dyDescent="0.25">
      <c r="A232" s="1"/>
      <c r="B232" s="196" t="s">
        <v>42</v>
      </c>
      <c r="C232" s="143">
        <v>1420</v>
      </c>
      <c r="D232" s="143" t="s">
        <v>663</v>
      </c>
      <c r="E232" s="143" t="s">
        <v>132</v>
      </c>
      <c r="F232" s="175" t="s">
        <v>126</v>
      </c>
      <c r="G232" s="175" t="s">
        <v>127</v>
      </c>
      <c r="H232" s="175" t="s">
        <v>689</v>
      </c>
      <c r="I232" s="176">
        <v>37903320</v>
      </c>
      <c r="J232" s="177" t="s">
        <v>60</v>
      </c>
      <c r="K232" s="177" t="s">
        <v>48</v>
      </c>
      <c r="L232" s="178" t="s">
        <v>690</v>
      </c>
      <c r="M232" s="143">
        <v>76121600</v>
      </c>
      <c r="N232" s="145" t="str">
        <f>H232</f>
        <v>Prestar el servicio para la recolección, transporte y disposición final de residuos sólidos orgánicos generados en los restaurantes y cafeterías de acuerdo a los horarios establecidos por la Universidad en las instalaciones de la UPN</v>
      </c>
      <c r="O232" s="146">
        <v>1</v>
      </c>
      <c r="P232" s="146">
        <v>1</v>
      </c>
      <c r="Q232" s="147">
        <v>11</v>
      </c>
      <c r="R232" s="148" t="s">
        <v>51</v>
      </c>
      <c r="S232" s="149" t="s">
        <v>691</v>
      </c>
      <c r="T232" s="150" t="s">
        <v>53</v>
      </c>
      <c r="U232" s="151">
        <f t="shared" si="22"/>
        <v>37903320</v>
      </c>
      <c r="V232" s="152">
        <f t="shared" si="23"/>
        <v>37903320</v>
      </c>
      <c r="W232" s="153" t="s">
        <v>54</v>
      </c>
      <c r="X232" s="153" t="s">
        <v>55</v>
      </c>
      <c r="Y232" s="154" t="s">
        <v>56</v>
      </c>
      <c r="Z232" s="155" t="s">
        <v>57</v>
      </c>
      <c r="AA232" s="156" t="s">
        <v>42</v>
      </c>
      <c r="AB232" s="157" t="s">
        <v>58</v>
      </c>
      <c r="AC232" s="158" t="s">
        <v>59</v>
      </c>
      <c r="AD232" s="153" t="s">
        <v>54</v>
      </c>
      <c r="AE232" s="153" t="s">
        <v>60</v>
      </c>
      <c r="AF232" s="159" t="s">
        <v>61</v>
      </c>
      <c r="AG232" s="159" t="s">
        <v>62</v>
      </c>
      <c r="AH232" s="159" t="s">
        <v>63</v>
      </c>
      <c r="AI232" s="159" t="s">
        <v>64</v>
      </c>
      <c r="AJ232" s="159" t="s">
        <v>64</v>
      </c>
      <c r="AK232" s="197" t="s">
        <v>64</v>
      </c>
    </row>
    <row r="233" spans="1:41" ht="84.75" customHeight="1" thickBot="1" x14ac:dyDescent="0.25">
      <c r="A233" s="1"/>
      <c r="B233" s="196" t="s">
        <v>42</v>
      </c>
      <c r="C233" s="143">
        <v>1420</v>
      </c>
      <c r="D233" s="143" t="s">
        <v>663</v>
      </c>
      <c r="E233" s="143" t="s">
        <v>132</v>
      </c>
      <c r="F233" s="175" t="s">
        <v>123</v>
      </c>
      <c r="G233" s="175" t="s">
        <v>124</v>
      </c>
      <c r="H233" s="175" t="s">
        <v>692</v>
      </c>
      <c r="I233" s="176">
        <v>47797540</v>
      </c>
      <c r="J233" s="177" t="s">
        <v>60</v>
      </c>
      <c r="K233" s="177" t="s">
        <v>48</v>
      </c>
      <c r="L233" s="178" t="s">
        <v>693</v>
      </c>
      <c r="M233" s="143">
        <v>73152100</v>
      </c>
      <c r="N233" s="145" t="str">
        <f>H233</f>
        <v>Realizar el mantenimiento preventivo y correctivo para los equipos del Restaurante</v>
      </c>
      <c r="O233" s="146">
        <v>1</v>
      </c>
      <c r="P233" s="146">
        <v>1</v>
      </c>
      <c r="Q233" s="147">
        <v>11</v>
      </c>
      <c r="R233" s="148" t="s">
        <v>51</v>
      </c>
      <c r="S233" s="149" t="s">
        <v>694</v>
      </c>
      <c r="T233" s="150" t="s">
        <v>53</v>
      </c>
      <c r="U233" s="151">
        <f t="shared" si="22"/>
        <v>47797540</v>
      </c>
      <c r="V233" s="152">
        <f t="shared" si="23"/>
        <v>47797540</v>
      </c>
      <c r="W233" s="153" t="s">
        <v>54</v>
      </c>
      <c r="X233" s="153" t="s">
        <v>55</v>
      </c>
      <c r="Y233" s="154" t="s">
        <v>56</v>
      </c>
      <c r="Z233" s="155" t="s">
        <v>57</v>
      </c>
      <c r="AA233" s="156" t="s">
        <v>42</v>
      </c>
      <c r="AB233" s="157" t="s">
        <v>58</v>
      </c>
      <c r="AC233" s="158" t="s">
        <v>59</v>
      </c>
      <c r="AD233" s="153" t="s">
        <v>54</v>
      </c>
      <c r="AE233" s="153" t="s">
        <v>60</v>
      </c>
      <c r="AF233" s="159" t="s">
        <v>61</v>
      </c>
      <c r="AG233" s="159" t="s">
        <v>62</v>
      </c>
      <c r="AH233" s="159" t="s">
        <v>63</v>
      </c>
      <c r="AI233" s="159" t="s">
        <v>64</v>
      </c>
      <c r="AJ233" s="159" t="s">
        <v>64</v>
      </c>
      <c r="AK233" s="197" t="s">
        <v>64</v>
      </c>
    </row>
    <row r="234" spans="1:41" ht="84.75" customHeight="1" thickBot="1" x14ac:dyDescent="0.25">
      <c r="A234" s="1"/>
      <c r="B234" s="196" t="s">
        <v>42</v>
      </c>
      <c r="C234" s="143">
        <v>1420</v>
      </c>
      <c r="D234" s="143" t="s">
        <v>663</v>
      </c>
      <c r="E234" s="143" t="s">
        <v>132</v>
      </c>
      <c r="F234" s="175" t="s">
        <v>108</v>
      </c>
      <c r="G234" s="175" t="s">
        <v>109</v>
      </c>
      <c r="H234" s="175" t="s">
        <v>695</v>
      </c>
      <c r="I234" s="176">
        <v>1068800000</v>
      </c>
      <c r="J234" s="177" t="s">
        <v>60</v>
      </c>
      <c r="K234" s="177" t="s">
        <v>48</v>
      </c>
      <c r="L234" s="178" t="s">
        <v>696</v>
      </c>
      <c r="M234" s="143" t="s">
        <v>697</v>
      </c>
      <c r="N234" s="237" t="str">
        <f>H234</f>
        <v>Adquirir  y abastecer  los insumos requeridos, para prestar el servicio de restaurantes y cafeterías de la Universidad Pedagógica Nacional</v>
      </c>
      <c r="O234" s="146">
        <v>1</v>
      </c>
      <c r="P234" s="146">
        <v>1</v>
      </c>
      <c r="Q234" s="147">
        <v>11</v>
      </c>
      <c r="R234" s="148" t="s">
        <v>51</v>
      </c>
      <c r="S234" s="149" t="s">
        <v>698</v>
      </c>
      <c r="T234" s="150" t="s">
        <v>53</v>
      </c>
      <c r="U234" s="151">
        <f t="shared" si="22"/>
        <v>1068800000</v>
      </c>
      <c r="V234" s="152">
        <f t="shared" si="23"/>
        <v>1068800000</v>
      </c>
      <c r="W234" s="153" t="s">
        <v>54</v>
      </c>
      <c r="X234" s="153" t="s">
        <v>55</v>
      </c>
      <c r="Y234" s="154" t="s">
        <v>56</v>
      </c>
      <c r="Z234" s="155" t="s">
        <v>57</v>
      </c>
      <c r="AA234" s="156" t="s">
        <v>42</v>
      </c>
      <c r="AB234" s="157" t="s">
        <v>58</v>
      </c>
      <c r="AC234" s="158" t="s">
        <v>59</v>
      </c>
      <c r="AD234" s="153" t="s">
        <v>54</v>
      </c>
      <c r="AE234" s="153" t="s">
        <v>60</v>
      </c>
      <c r="AF234" s="159" t="s">
        <v>61</v>
      </c>
      <c r="AG234" s="159" t="s">
        <v>62</v>
      </c>
      <c r="AH234" s="159" t="s">
        <v>63</v>
      </c>
      <c r="AI234" s="159" t="s">
        <v>64</v>
      </c>
      <c r="AJ234" s="159" t="s">
        <v>64</v>
      </c>
      <c r="AK234" s="197" t="s">
        <v>64</v>
      </c>
    </row>
    <row r="235" spans="1:41" ht="84.75" customHeight="1" thickBot="1" x14ac:dyDescent="0.25">
      <c r="A235" s="1"/>
      <c r="B235" s="196" t="s">
        <v>42</v>
      </c>
      <c r="C235" s="143">
        <v>1420</v>
      </c>
      <c r="D235" s="143" t="s">
        <v>663</v>
      </c>
      <c r="E235" s="143" t="s">
        <v>132</v>
      </c>
      <c r="F235" s="175" t="s">
        <v>160</v>
      </c>
      <c r="G235" s="175" t="s">
        <v>161</v>
      </c>
      <c r="H235" s="175" t="s">
        <v>695</v>
      </c>
      <c r="I235" s="176">
        <v>40000000</v>
      </c>
      <c r="J235" s="177" t="s">
        <v>60</v>
      </c>
      <c r="K235" s="177" t="s">
        <v>48</v>
      </c>
      <c r="L235" s="178" t="s">
        <v>696</v>
      </c>
      <c r="M235" s="143" t="s">
        <v>697</v>
      </c>
      <c r="N235" s="237"/>
      <c r="O235" s="146">
        <v>1</v>
      </c>
      <c r="P235" s="146">
        <v>1</v>
      </c>
      <c r="Q235" s="147">
        <v>11</v>
      </c>
      <c r="R235" s="148" t="s">
        <v>51</v>
      </c>
      <c r="S235" s="149" t="s">
        <v>699</v>
      </c>
      <c r="T235" s="150" t="s">
        <v>53</v>
      </c>
      <c r="U235" s="151">
        <f t="shared" si="22"/>
        <v>40000000</v>
      </c>
      <c r="V235" s="152">
        <f t="shared" si="23"/>
        <v>40000000</v>
      </c>
      <c r="W235" s="153" t="s">
        <v>54</v>
      </c>
      <c r="X235" s="153" t="s">
        <v>55</v>
      </c>
      <c r="Y235" s="154" t="s">
        <v>56</v>
      </c>
      <c r="Z235" s="155" t="s">
        <v>57</v>
      </c>
      <c r="AA235" s="156" t="s">
        <v>42</v>
      </c>
      <c r="AB235" s="157" t="s">
        <v>58</v>
      </c>
      <c r="AC235" s="158" t="s">
        <v>59</v>
      </c>
      <c r="AD235" s="153" t="s">
        <v>54</v>
      </c>
      <c r="AE235" s="153" t="s">
        <v>60</v>
      </c>
      <c r="AF235" s="159" t="s">
        <v>61</v>
      </c>
      <c r="AG235" s="159" t="s">
        <v>62</v>
      </c>
      <c r="AH235" s="159" t="s">
        <v>63</v>
      </c>
      <c r="AI235" s="159" t="s">
        <v>64</v>
      </c>
      <c r="AJ235" s="159" t="s">
        <v>64</v>
      </c>
      <c r="AK235" s="197" t="s">
        <v>64</v>
      </c>
    </row>
    <row r="236" spans="1:41" ht="84.75" customHeight="1" thickBot="1" x14ac:dyDescent="0.25">
      <c r="A236" s="1"/>
      <c r="B236" s="196" t="s">
        <v>42</v>
      </c>
      <c r="C236" s="143">
        <v>1420</v>
      </c>
      <c r="D236" s="143" t="s">
        <v>663</v>
      </c>
      <c r="E236" s="143" t="s">
        <v>132</v>
      </c>
      <c r="F236" s="175" t="s">
        <v>128</v>
      </c>
      <c r="G236" s="175" t="s">
        <v>129</v>
      </c>
      <c r="H236" s="175" t="s">
        <v>695</v>
      </c>
      <c r="I236" s="176">
        <v>1120000000</v>
      </c>
      <c r="J236" s="177" t="s">
        <v>60</v>
      </c>
      <c r="K236" s="177" t="s">
        <v>48</v>
      </c>
      <c r="L236" s="178" t="s">
        <v>696</v>
      </c>
      <c r="M236" s="143" t="s">
        <v>697</v>
      </c>
      <c r="N236" s="237"/>
      <c r="O236" s="146">
        <v>1</v>
      </c>
      <c r="P236" s="146">
        <v>1</v>
      </c>
      <c r="Q236" s="147">
        <v>11</v>
      </c>
      <c r="R236" s="148" t="s">
        <v>51</v>
      </c>
      <c r="S236" s="149" t="s">
        <v>700</v>
      </c>
      <c r="T236" s="150" t="s">
        <v>53</v>
      </c>
      <c r="U236" s="151">
        <f t="shared" si="22"/>
        <v>1120000000</v>
      </c>
      <c r="V236" s="152">
        <f t="shared" si="23"/>
        <v>1120000000</v>
      </c>
      <c r="W236" s="153" t="s">
        <v>54</v>
      </c>
      <c r="X236" s="153" t="s">
        <v>55</v>
      </c>
      <c r="Y236" s="154" t="s">
        <v>56</v>
      </c>
      <c r="Z236" s="155" t="s">
        <v>57</v>
      </c>
      <c r="AA236" s="156" t="s">
        <v>42</v>
      </c>
      <c r="AB236" s="157" t="s">
        <v>58</v>
      </c>
      <c r="AC236" s="158" t="s">
        <v>59</v>
      </c>
      <c r="AD236" s="153" t="s">
        <v>54</v>
      </c>
      <c r="AE236" s="153" t="s">
        <v>60</v>
      </c>
      <c r="AF236" s="159" t="s">
        <v>61</v>
      </c>
      <c r="AG236" s="159" t="s">
        <v>62</v>
      </c>
      <c r="AH236" s="159" t="s">
        <v>63</v>
      </c>
      <c r="AI236" s="159" t="s">
        <v>64</v>
      </c>
      <c r="AJ236" s="159" t="s">
        <v>64</v>
      </c>
      <c r="AK236" s="197" t="s">
        <v>64</v>
      </c>
    </row>
    <row r="237" spans="1:41" ht="84.75" customHeight="1" thickBot="1" x14ac:dyDescent="0.25">
      <c r="A237" s="1"/>
      <c r="B237" s="196" t="s">
        <v>42</v>
      </c>
      <c r="C237" s="143">
        <v>1420</v>
      </c>
      <c r="D237" s="143" t="s">
        <v>663</v>
      </c>
      <c r="E237" s="143" t="s">
        <v>132</v>
      </c>
      <c r="F237" s="175" t="s">
        <v>114</v>
      </c>
      <c r="G237" s="175" t="s">
        <v>115</v>
      </c>
      <c r="H237" s="175" t="s">
        <v>701</v>
      </c>
      <c r="I237" s="176">
        <f>26376723-2616000</f>
        <v>23760723</v>
      </c>
      <c r="J237" s="177" t="s">
        <v>60</v>
      </c>
      <c r="K237" s="177" t="s">
        <v>48</v>
      </c>
      <c r="L237" s="178" t="s">
        <v>702</v>
      </c>
      <c r="M237" s="143" t="s">
        <v>682</v>
      </c>
      <c r="N237" s="160" t="str">
        <f>H237</f>
        <v>Adquirir menaje para el restaurante  de la Universidad Pedagógica Nacional.</v>
      </c>
      <c r="O237" s="146">
        <v>1</v>
      </c>
      <c r="P237" s="146">
        <v>1</v>
      </c>
      <c r="Q237" s="147">
        <v>11</v>
      </c>
      <c r="R237" s="148" t="s">
        <v>51</v>
      </c>
      <c r="S237" s="149" t="s">
        <v>703</v>
      </c>
      <c r="T237" s="150" t="s">
        <v>53</v>
      </c>
      <c r="U237" s="151">
        <f t="shared" si="22"/>
        <v>23760723</v>
      </c>
      <c r="V237" s="152">
        <f t="shared" si="23"/>
        <v>23760723</v>
      </c>
      <c r="W237" s="153" t="s">
        <v>54</v>
      </c>
      <c r="X237" s="153" t="s">
        <v>55</v>
      </c>
      <c r="Y237" s="154" t="s">
        <v>56</v>
      </c>
      <c r="Z237" s="155" t="s">
        <v>57</v>
      </c>
      <c r="AA237" s="156" t="s">
        <v>42</v>
      </c>
      <c r="AB237" s="157" t="s">
        <v>58</v>
      </c>
      <c r="AC237" s="158" t="s">
        <v>59</v>
      </c>
      <c r="AD237" s="153" t="s">
        <v>54</v>
      </c>
      <c r="AE237" s="153" t="s">
        <v>60</v>
      </c>
      <c r="AF237" s="159" t="s">
        <v>61</v>
      </c>
      <c r="AG237" s="159" t="s">
        <v>62</v>
      </c>
      <c r="AH237" s="159" t="s">
        <v>63</v>
      </c>
      <c r="AI237" s="159" t="s">
        <v>64</v>
      </c>
      <c r="AJ237" s="159" t="s">
        <v>64</v>
      </c>
      <c r="AK237" s="197" t="s">
        <v>64</v>
      </c>
    </row>
    <row r="238" spans="1:41" ht="84.75" customHeight="1" thickBot="1" x14ac:dyDescent="0.25">
      <c r="A238" s="1"/>
      <c r="B238" s="196" t="s">
        <v>42</v>
      </c>
      <c r="C238" s="143">
        <v>1420</v>
      </c>
      <c r="D238" s="143" t="s">
        <v>663</v>
      </c>
      <c r="E238" s="143" t="s">
        <v>132</v>
      </c>
      <c r="F238" s="175" t="s">
        <v>111</v>
      </c>
      <c r="G238" s="175" t="s">
        <v>112</v>
      </c>
      <c r="H238" s="175" t="s">
        <v>701</v>
      </c>
      <c r="I238" s="176">
        <v>29772760</v>
      </c>
      <c r="J238" s="177" t="s">
        <v>60</v>
      </c>
      <c r="K238" s="177" t="s">
        <v>48</v>
      </c>
      <c r="L238" s="178" t="s">
        <v>702</v>
      </c>
      <c r="M238" s="143" t="s">
        <v>682</v>
      </c>
      <c r="N238" s="160"/>
      <c r="O238" s="146">
        <v>1</v>
      </c>
      <c r="P238" s="146">
        <v>1</v>
      </c>
      <c r="Q238" s="147">
        <v>11</v>
      </c>
      <c r="R238" s="148" t="s">
        <v>51</v>
      </c>
      <c r="S238" s="149" t="s">
        <v>704</v>
      </c>
      <c r="T238" s="150" t="s">
        <v>53</v>
      </c>
      <c r="U238" s="151">
        <f t="shared" si="22"/>
        <v>29772760</v>
      </c>
      <c r="V238" s="152">
        <f t="shared" si="23"/>
        <v>29772760</v>
      </c>
      <c r="W238" s="153" t="s">
        <v>54</v>
      </c>
      <c r="X238" s="153" t="s">
        <v>55</v>
      </c>
      <c r="Y238" s="154" t="s">
        <v>56</v>
      </c>
      <c r="Z238" s="155" t="s">
        <v>57</v>
      </c>
      <c r="AA238" s="156" t="s">
        <v>42</v>
      </c>
      <c r="AB238" s="157" t="s">
        <v>58</v>
      </c>
      <c r="AC238" s="158" t="s">
        <v>59</v>
      </c>
      <c r="AD238" s="153" t="s">
        <v>54</v>
      </c>
      <c r="AE238" s="153" t="s">
        <v>60</v>
      </c>
      <c r="AF238" s="159" t="s">
        <v>61</v>
      </c>
      <c r="AG238" s="159" t="s">
        <v>62</v>
      </c>
      <c r="AH238" s="159" t="s">
        <v>63</v>
      </c>
      <c r="AI238" s="159" t="s">
        <v>64</v>
      </c>
      <c r="AJ238" s="159" t="s">
        <v>64</v>
      </c>
      <c r="AK238" s="197" t="s">
        <v>64</v>
      </c>
    </row>
    <row r="239" spans="1:41" ht="84.75" customHeight="1" thickBot="1" x14ac:dyDescent="0.25">
      <c r="A239" s="1"/>
      <c r="B239" s="196" t="s">
        <v>42</v>
      </c>
      <c r="C239" s="143">
        <v>1420</v>
      </c>
      <c r="D239" s="143" t="s">
        <v>663</v>
      </c>
      <c r="E239" s="143" t="s">
        <v>132</v>
      </c>
      <c r="F239" s="175" t="s">
        <v>117</v>
      </c>
      <c r="G239" s="175" t="s">
        <v>118</v>
      </c>
      <c r="H239" s="175" t="s">
        <v>705</v>
      </c>
      <c r="I239" s="176">
        <v>89000000</v>
      </c>
      <c r="J239" s="177" t="s">
        <v>60</v>
      </c>
      <c r="K239" s="177" t="s">
        <v>48</v>
      </c>
      <c r="L239" s="178" t="s">
        <v>706</v>
      </c>
      <c r="M239" s="143" t="s">
        <v>298</v>
      </c>
      <c r="N239" s="145" t="str">
        <f t="shared" ref="N239:N247" si="24">H239</f>
        <v>Prestar el servicio de catering para eventos institucionales de la Universidad Pedagógica Nacional.</v>
      </c>
      <c r="O239" s="146">
        <v>3</v>
      </c>
      <c r="P239" s="146">
        <v>9</v>
      </c>
      <c r="Q239" s="147">
        <v>11</v>
      </c>
      <c r="R239" s="148" t="s">
        <v>51</v>
      </c>
      <c r="S239" s="149" t="s">
        <v>707</v>
      </c>
      <c r="T239" s="150" t="s">
        <v>53</v>
      </c>
      <c r="U239" s="151">
        <f t="shared" si="22"/>
        <v>89000000</v>
      </c>
      <c r="V239" s="152">
        <f t="shared" si="23"/>
        <v>89000000</v>
      </c>
      <c r="W239" s="153" t="s">
        <v>54</v>
      </c>
      <c r="X239" s="153" t="s">
        <v>55</v>
      </c>
      <c r="Y239" s="154" t="s">
        <v>56</v>
      </c>
      <c r="Z239" s="155" t="s">
        <v>57</v>
      </c>
      <c r="AA239" s="156" t="s">
        <v>42</v>
      </c>
      <c r="AB239" s="157" t="s">
        <v>58</v>
      </c>
      <c r="AC239" s="158" t="s">
        <v>59</v>
      </c>
      <c r="AD239" s="153" t="s">
        <v>54</v>
      </c>
      <c r="AE239" s="153" t="s">
        <v>60</v>
      </c>
      <c r="AF239" s="159" t="s">
        <v>61</v>
      </c>
      <c r="AG239" s="159" t="s">
        <v>62</v>
      </c>
      <c r="AH239" s="159" t="s">
        <v>63</v>
      </c>
      <c r="AI239" s="159" t="s">
        <v>64</v>
      </c>
      <c r="AJ239" s="159" t="s">
        <v>64</v>
      </c>
      <c r="AK239" s="197" t="s">
        <v>64</v>
      </c>
    </row>
    <row r="240" spans="1:41" s="34" customFormat="1" ht="84.75" customHeight="1" thickBot="1" x14ac:dyDescent="0.25">
      <c r="A240" s="1"/>
      <c r="B240" s="196" t="s">
        <v>42</v>
      </c>
      <c r="C240" s="143"/>
      <c r="D240" s="143" t="s">
        <v>708</v>
      </c>
      <c r="E240" s="143" t="s">
        <v>132</v>
      </c>
      <c r="F240" s="175"/>
      <c r="G240" s="175" t="s">
        <v>112</v>
      </c>
      <c r="H240" s="175" t="s">
        <v>709</v>
      </c>
      <c r="I240" s="176">
        <f>20000000+20000000-40000000</f>
        <v>0</v>
      </c>
      <c r="J240" s="177" t="s">
        <v>60</v>
      </c>
      <c r="K240" s="177" t="s">
        <v>48</v>
      </c>
      <c r="L240" s="178" t="s">
        <v>710</v>
      </c>
      <c r="M240" s="143" t="s">
        <v>711</v>
      </c>
      <c r="N240" s="145" t="str">
        <f t="shared" si="24"/>
        <v>Adquirir elementos deportivos para el área de  SBU con el fin de contribuir con el bienestar de los estudiantes de la UPN.</v>
      </c>
      <c r="O240" s="146">
        <v>1</v>
      </c>
      <c r="P240" s="146">
        <v>1</v>
      </c>
      <c r="Q240" s="147">
        <v>11</v>
      </c>
      <c r="R240" s="148" t="s">
        <v>51</v>
      </c>
      <c r="S240" s="149" t="s">
        <v>712</v>
      </c>
      <c r="T240" s="150"/>
      <c r="U240" s="151">
        <f t="shared" si="22"/>
        <v>0</v>
      </c>
      <c r="V240" s="152">
        <f t="shared" si="23"/>
        <v>0</v>
      </c>
      <c r="W240" s="153" t="s">
        <v>54</v>
      </c>
      <c r="X240" s="153" t="s">
        <v>55</v>
      </c>
      <c r="Y240" s="154" t="s">
        <v>56</v>
      </c>
      <c r="Z240" s="155" t="s">
        <v>57</v>
      </c>
      <c r="AA240" s="156" t="s">
        <v>42</v>
      </c>
      <c r="AB240" s="157" t="s">
        <v>58</v>
      </c>
      <c r="AC240" s="158" t="s">
        <v>59</v>
      </c>
      <c r="AD240" s="153" t="s">
        <v>54</v>
      </c>
      <c r="AE240" s="153" t="s">
        <v>60</v>
      </c>
      <c r="AF240" s="159" t="s">
        <v>61</v>
      </c>
      <c r="AG240" s="159" t="s">
        <v>62</v>
      </c>
      <c r="AH240" s="159" t="s">
        <v>63</v>
      </c>
      <c r="AI240" s="159" t="s">
        <v>64</v>
      </c>
      <c r="AJ240" s="159" t="s">
        <v>64</v>
      </c>
      <c r="AK240" s="197" t="s">
        <v>64</v>
      </c>
      <c r="AL240" s="29"/>
      <c r="AM240" s="29"/>
      <c r="AN240" s="29"/>
      <c r="AO240" s="29"/>
    </row>
    <row r="241" spans="1:41" ht="84.75" customHeight="1" thickBot="1" x14ac:dyDescent="0.25">
      <c r="A241" s="1"/>
      <c r="B241" s="196" t="s">
        <v>42</v>
      </c>
      <c r="C241" s="143">
        <v>1430</v>
      </c>
      <c r="D241" s="143" t="s">
        <v>708</v>
      </c>
      <c r="E241" s="143" t="s">
        <v>132</v>
      </c>
      <c r="F241" s="175" t="s">
        <v>128</v>
      </c>
      <c r="G241" s="175" t="s">
        <v>129</v>
      </c>
      <c r="H241" s="175" t="s">
        <v>713</v>
      </c>
      <c r="I241" s="176">
        <v>31955400</v>
      </c>
      <c r="J241" s="177"/>
      <c r="K241" s="177"/>
      <c r="L241" s="178" t="s">
        <v>714</v>
      </c>
      <c r="M241" s="238" t="s">
        <v>715</v>
      </c>
      <c r="N241" s="237" t="str">
        <f>H242</f>
        <v>Adquirir los uniformes para los estudiantes y funcionarios que representan a la Universidad Pedagógica Nacional en los
encuentros deportivos.</v>
      </c>
      <c r="O241" s="241">
        <v>1</v>
      </c>
      <c r="P241" s="241">
        <v>1</v>
      </c>
      <c r="Q241" s="242">
        <v>11</v>
      </c>
      <c r="R241" s="243" t="s">
        <v>51</v>
      </c>
      <c r="S241" s="244" t="s">
        <v>716</v>
      </c>
      <c r="T241" s="150" t="s">
        <v>53</v>
      </c>
      <c r="U241" s="151">
        <f t="shared" si="22"/>
        <v>31955400</v>
      </c>
      <c r="V241" s="152">
        <f t="shared" si="23"/>
        <v>31955400</v>
      </c>
      <c r="W241" s="153" t="s">
        <v>54</v>
      </c>
      <c r="X241" s="153" t="s">
        <v>55</v>
      </c>
      <c r="Y241" s="154" t="s">
        <v>56</v>
      </c>
      <c r="Z241" s="155" t="s">
        <v>57</v>
      </c>
      <c r="AA241" s="156" t="s">
        <v>42</v>
      </c>
      <c r="AB241" s="157" t="s">
        <v>58</v>
      </c>
      <c r="AC241" s="158" t="s">
        <v>59</v>
      </c>
      <c r="AD241" s="153" t="s">
        <v>54</v>
      </c>
      <c r="AE241" s="153" t="s">
        <v>60</v>
      </c>
      <c r="AF241" s="159" t="s">
        <v>61</v>
      </c>
      <c r="AG241" s="159" t="s">
        <v>62</v>
      </c>
      <c r="AH241" s="159" t="s">
        <v>63</v>
      </c>
      <c r="AI241" s="159" t="s">
        <v>64</v>
      </c>
      <c r="AJ241" s="159" t="s">
        <v>64</v>
      </c>
      <c r="AK241" s="197" t="s">
        <v>64</v>
      </c>
    </row>
    <row r="242" spans="1:41" s="30" customFormat="1" ht="84.75" customHeight="1" thickBot="1" x14ac:dyDescent="0.25">
      <c r="A242" s="1"/>
      <c r="B242" s="196" t="s">
        <v>42</v>
      </c>
      <c r="C242" s="143">
        <v>1430</v>
      </c>
      <c r="D242" s="143" t="s">
        <v>708</v>
      </c>
      <c r="E242" s="143" t="s">
        <v>132</v>
      </c>
      <c r="F242" s="175" t="s">
        <v>128</v>
      </c>
      <c r="G242" s="175" t="s">
        <v>129</v>
      </c>
      <c r="H242" s="175" t="s">
        <v>713</v>
      </c>
      <c r="I242" s="176">
        <v>38000000</v>
      </c>
      <c r="J242" s="177" t="s">
        <v>60</v>
      </c>
      <c r="K242" s="177" t="s">
        <v>54</v>
      </c>
      <c r="L242" s="178" t="s">
        <v>714</v>
      </c>
      <c r="M242" s="238"/>
      <c r="N242" s="237"/>
      <c r="O242" s="241"/>
      <c r="P242" s="241"/>
      <c r="Q242" s="242"/>
      <c r="R242" s="243"/>
      <c r="S242" s="244"/>
      <c r="T242" s="150" t="s">
        <v>282</v>
      </c>
      <c r="U242" s="151">
        <f t="shared" si="22"/>
        <v>38000000</v>
      </c>
      <c r="V242" s="152">
        <f t="shared" si="23"/>
        <v>38000000</v>
      </c>
      <c r="W242" s="153" t="s">
        <v>54</v>
      </c>
      <c r="X242" s="153" t="s">
        <v>55</v>
      </c>
      <c r="Y242" s="154" t="s">
        <v>56</v>
      </c>
      <c r="Z242" s="155" t="s">
        <v>57</v>
      </c>
      <c r="AA242" s="156" t="s">
        <v>42</v>
      </c>
      <c r="AB242" s="157" t="s">
        <v>58</v>
      </c>
      <c r="AC242" s="158" t="s">
        <v>59</v>
      </c>
      <c r="AD242" s="153" t="s">
        <v>54</v>
      </c>
      <c r="AE242" s="153" t="s">
        <v>60</v>
      </c>
      <c r="AF242" s="159" t="s">
        <v>61</v>
      </c>
      <c r="AG242" s="159" t="s">
        <v>62</v>
      </c>
      <c r="AH242" s="159" t="s">
        <v>63</v>
      </c>
      <c r="AI242" s="159" t="s">
        <v>64</v>
      </c>
      <c r="AJ242" s="159" t="s">
        <v>64</v>
      </c>
      <c r="AK242" s="197" t="s">
        <v>64</v>
      </c>
      <c r="AL242" s="42"/>
      <c r="AM242" s="42"/>
      <c r="AN242" s="42"/>
      <c r="AO242" s="42"/>
    </row>
    <row r="243" spans="1:41" ht="84.75" customHeight="1" thickBot="1" x14ac:dyDescent="0.25">
      <c r="A243" s="1"/>
      <c r="B243" s="196" t="s">
        <v>42</v>
      </c>
      <c r="C243" s="143">
        <v>1430</v>
      </c>
      <c r="D243" s="143" t="s">
        <v>708</v>
      </c>
      <c r="E243" s="143" t="s">
        <v>132</v>
      </c>
      <c r="F243" s="175" t="s">
        <v>126</v>
      </c>
      <c r="G243" s="175" t="s">
        <v>127</v>
      </c>
      <c r="H243" s="175" t="s">
        <v>717</v>
      </c>
      <c r="I243" s="176">
        <v>20201772</v>
      </c>
      <c r="J243" s="177" t="s">
        <v>48</v>
      </c>
      <c r="K243" s="177" t="s">
        <v>48</v>
      </c>
      <c r="L243" s="178" t="s">
        <v>143</v>
      </c>
      <c r="M243" s="143" t="s">
        <v>50</v>
      </c>
      <c r="N243" s="145" t="str">
        <f t="shared" si="24"/>
        <v>Amparar el pago de la inscripción juegos Distritales  -  ASCUN.</v>
      </c>
      <c r="O243" s="146">
        <v>1</v>
      </c>
      <c r="P243" s="146">
        <v>1</v>
      </c>
      <c r="Q243" s="147">
        <v>11</v>
      </c>
      <c r="R243" s="148" t="s">
        <v>51</v>
      </c>
      <c r="S243" s="149" t="s">
        <v>718</v>
      </c>
      <c r="T243" s="150" t="s">
        <v>53</v>
      </c>
      <c r="U243" s="151">
        <f t="shared" si="22"/>
        <v>20201772</v>
      </c>
      <c r="V243" s="152">
        <f t="shared" si="23"/>
        <v>20201772</v>
      </c>
      <c r="W243" s="153" t="s">
        <v>54</v>
      </c>
      <c r="X243" s="153" t="s">
        <v>55</v>
      </c>
      <c r="Y243" s="154" t="s">
        <v>56</v>
      </c>
      <c r="Z243" s="155" t="s">
        <v>57</v>
      </c>
      <c r="AA243" s="156" t="s">
        <v>42</v>
      </c>
      <c r="AB243" s="157" t="s">
        <v>58</v>
      </c>
      <c r="AC243" s="158" t="s">
        <v>59</v>
      </c>
      <c r="AD243" s="153" t="s">
        <v>54</v>
      </c>
      <c r="AE243" s="153" t="s">
        <v>60</v>
      </c>
      <c r="AF243" s="159" t="s">
        <v>61</v>
      </c>
      <c r="AG243" s="159" t="s">
        <v>62</v>
      </c>
      <c r="AH243" s="159" t="s">
        <v>63</v>
      </c>
      <c r="AI243" s="159" t="s">
        <v>64</v>
      </c>
      <c r="AJ243" s="159" t="s">
        <v>64</v>
      </c>
      <c r="AK243" s="197" t="s">
        <v>64</v>
      </c>
    </row>
    <row r="244" spans="1:41" ht="84.75" customHeight="1" thickBot="1" x14ac:dyDescent="0.25">
      <c r="A244" s="1"/>
      <c r="B244" s="196" t="s">
        <v>42</v>
      </c>
      <c r="C244" s="143">
        <v>1430</v>
      </c>
      <c r="D244" s="143" t="s">
        <v>708</v>
      </c>
      <c r="E244" s="143" t="s">
        <v>132</v>
      </c>
      <c r="F244" s="175" t="s">
        <v>126</v>
      </c>
      <c r="G244" s="175" t="s">
        <v>127</v>
      </c>
      <c r="H244" s="175" t="s">
        <v>719</v>
      </c>
      <c r="I244" s="176">
        <v>16975000</v>
      </c>
      <c r="J244" s="177" t="s">
        <v>48</v>
      </c>
      <c r="K244" s="177" t="s">
        <v>48</v>
      </c>
      <c r="L244" s="178" t="s">
        <v>143</v>
      </c>
      <c r="M244" s="143" t="s">
        <v>50</v>
      </c>
      <c r="N244" s="145" t="str">
        <f t="shared" si="24"/>
        <v>Amparar el pago de la inscripción juegos Nacionales -  ASCUN.</v>
      </c>
      <c r="O244" s="146">
        <v>1</v>
      </c>
      <c r="P244" s="146">
        <v>1</v>
      </c>
      <c r="Q244" s="147">
        <v>11</v>
      </c>
      <c r="R244" s="148" t="s">
        <v>51</v>
      </c>
      <c r="S244" s="149" t="s">
        <v>720</v>
      </c>
      <c r="T244" s="150" t="s">
        <v>53</v>
      </c>
      <c r="U244" s="151">
        <f t="shared" si="22"/>
        <v>16975000</v>
      </c>
      <c r="V244" s="152">
        <f t="shared" si="23"/>
        <v>16975000</v>
      </c>
      <c r="W244" s="153" t="s">
        <v>54</v>
      </c>
      <c r="X244" s="153" t="s">
        <v>55</v>
      </c>
      <c r="Y244" s="154" t="s">
        <v>56</v>
      </c>
      <c r="Z244" s="155" t="s">
        <v>57</v>
      </c>
      <c r="AA244" s="156" t="s">
        <v>42</v>
      </c>
      <c r="AB244" s="157" t="s">
        <v>58</v>
      </c>
      <c r="AC244" s="158" t="s">
        <v>59</v>
      </c>
      <c r="AD244" s="153" t="s">
        <v>54</v>
      </c>
      <c r="AE244" s="153" t="s">
        <v>60</v>
      </c>
      <c r="AF244" s="159" t="s">
        <v>61</v>
      </c>
      <c r="AG244" s="159" t="s">
        <v>62</v>
      </c>
      <c r="AH244" s="159" t="s">
        <v>63</v>
      </c>
      <c r="AI244" s="159" t="s">
        <v>64</v>
      </c>
      <c r="AJ244" s="159" t="s">
        <v>64</v>
      </c>
      <c r="AK244" s="197" t="s">
        <v>64</v>
      </c>
    </row>
    <row r="245" spans="1:41" ht="84.75" customHeight="1" thickBot="1" x14ac:dyDescent="0.25">
      <c r="A245" s="1"/>
      <c r="B245" s="196" t="s">
        <v>42</v>
      </c>
      <c r="C245" s="143">
        <v>1430</v>
      </c>
      <c r="D245" s="143" t="s">
        <v>708</v>
      </c>
      <c r="E245" s="143" t="s">
        <v>132</v>
      </c>
      <c r="F245" s="175" t="s">
        <v>117</v>
      </c>
      <c r="G245" s="175" t="s">
        <v>118</v>
      </c>
      <c r="H245" s="175" t="s">
        <v>721</v>
      </c>
      <c r="I245" s="176">
        <v>80000000</v>
      </c>
      <c r="J245" s="177"/>
      <c r="K245" s="177"/>
      <c r="L245" s="178" t="s">
        <v>722</v>
      </c>
      <c r="M245" s="238" t="s">
        <v>298</v>
      </c>
      <c r="N245" s="237" t="str">
        <f>H246</f>
        <v>Prestar los servicios como operador
logístico para atender el desplazamiento,
alojamiento y alimentación de la delegación de la Universidad Pedagógica
Nacional. (Participación deportiva organizada por ASCUN.</v>
      </c>
      <c r="O245" s="241">
        <v>1</v>
      </c>
      <c r="P245" s="241">
        <v>1</v>
      </c>
      <c r="Q245" s="242">
        <v>11</v>
      </c>
      <c r="R245" s="243" t="s">
        <v>51</v>
      </c>
      <c r="S245" s="244" t="s">
        <v>723</v>
      </c>
      <c r="T245" s="150" t="s">
        <v>53</v>
      </c>
      <c r="U245" s="151">
        <f t="shared" si="22"/>
        <v>80000000</v>
      </c>
      <c r="V245" s="152">
        <f t="shared" si="23"/>
        <v>80000000</v>
      </c>
      <c r="W245" s="153" t="s">
        <v>54</v>
      </c>
      <c r="X245" s="153" t="s">
        <v>55</v>
      </c>
      <c r="Y245" s="154" t="s">
        <v>56</v>
      </c>
      <c r="Z245" s="155" t="s">
        <v>57</v>
      </c>
      <c r="AA245" s="156" t="s">
        <v>42</v>
      </c>
      <c r="AB245" s="157" t="s">
        <v>58</v>
      </c>
      <c r="AC245" s="158" t="s">
        <v>59</v>
      </c>
      <c r="AD245" s="153" t="s">
        <v>54</v>
      </c>
      <c r="AE245" s="153" t="s">
        <v>60</v>
      </c>
      <c r="AF245" s="159" t="s">
        <v>61</v>
      </c>
      <c r="AG245" s="159" t="s">
        <v>62</v>
      </c>
      <c r="AH245" s="159" t="s">
        <v>63</v>
      </c>
      <c r="AI245" s="159" t="s">
        <v>64</v>
      </c>
      <c r="AJ245" s="159" t="s">
        <v>64</v>
      </c>
      <c r="AK245" s="197" t="s">
        <v>64</v>
      </c>
    </row>
    <row r="246" spans="1:41" ht="84.75" customHeight="1" thickBot="1" x14ac:dyDescent="0.25">
      <c r="A246" s="1"/>
      <c r="B246" s="196" t="s">
        <v>42</v>
      </c>
      <c r="C246" s="143">
        <v>1430</v>
      </c>
      <c r="D246" s="143" t="s">
        <v>708</v>
      </c>
      <c r="E246" s="143" t="s">
        <v>132</v>
      </c>
      <c r="F246" s="175" t="s">
        <v>117</v>
      </c>
      <c r="G246" s="175" t="s">
        <v>118</v>
      </c>
      <c r="H246" s="175" t="s">
        <v>721</v>
      </c>
      <c r="I246" s="176">
        <v>49000000</v>
      </c>
      <c r="J246" s="177" t="s">
        <v>60</v>
      </c>
      <c r="K246" s="177" t="s">
        <v>48</v>
      </c>
      <c r="L246" s="178" t="s">
        <v>722</v>
      </c>
      <c r="M246" s="238"/>
      <c r="N246" s="237"/>
      <c r="O246" s="241"/>
      <c r="P246" s="241"/>
      <c r="Q246" s="242"/>
      <c r="R246" s="243"/>
      <c r="S246" s="244"/>
      <c r="T246" s="150" t="s">
        <v>282</v>
      </c>
      <c r="U246" s="151">
        <f t="shared" si="22"/>
        <v>49000000</v>
      </c>
      <c r="V246" s="152">
        <f t="shared" si="23"/>
        <v>49000000</v>
      </c>
      <c r="W246" s="153" t="s">
        <v>54</v>
      </c>
      <c r="X246" s="153" t="s">
        <v>55</v>
      </c>
      <c r="Y246" s="154" t="s">
        <v>56</v>
      </c>
      <c r="Z246" s="155" t="s">
        <v>57</v>
      </c>
      <c r="AA246" s="156" t="s">
        <v>42</v>
      </c>
      <c r="AB246" s="157" t="s">
        <v>58</v>
      </c>
      <c r="AC246" s="158" t="s">
        <v>59</v>
      </c>
      <c r="AD246" s="153" t="s">
        <v>54</v>
      </c>
      <c r="AE246" s="153" t="s">
        <v>60</v>
      </c>
      <c r="AF246" s="159" t="s">
        <v>61</v>
      </c>
      <c r="AG246" s="159" t="s">
        <v>62</v>
      </c>
      <c r="AH246" s="159" t="s">
        <v>63</v>
      </c>
      <c r="AI246" s="159" t="s">
        <v>64</v>
      </c>
      <c r="AJ246" s="159" t="s">
        <v>64</v>
      </c>
      <c r="AK246" s="197" t="s">
        <v>64</v>
      </c>
    </row>
    <row r="247" spans="1:41" ht="84.75" customHeight="1" thickBot="1" x14ac:dyDescent="0.25">
      <c r="A247" s="1"/>
      <c r="B247" s="196" t="s">
        <v>42</v>
      </c>
      <c r="C247" s="143">
        <v>1440</v>
      </c>
      <c r="D247" s="143" t="s">
        <v>724</v>
      </c>
      <c r="E247" s="143" t="s">
        <v>132</v>
      </c>
      <c r="F247" s="175" t="s">
        <v>725</v>
      </c>
      <c r="G247" s="175" t="s">
        <v>726</v>
      </c>
      <c r="H247" s="175" t="s">
        <v>727</v>
      </c>
      <c r="I247" s="176">
        <f>27572000-(7770000+14800000+5000000)</f>
        <v>2000</v>
      </c>
      <c r="J247" s="177" t="s">
        <v>60</v>
      </c>
      <c r="K247" s="177" t="s">
        <v>48</v>
      </c>
      <c r="L247" s="178" t="s">
        <v>728</v>
      </c>
      <c r="M247" s="143" t="s">
        <v>729</v>
      </c>
      <c r="N247" s="145" t="str">
        <f t="shared" si="24"/>
        <v>Realizar la adquisición de instrumentos del programa de Cultura de la SBU de la Universidad Pedagógica Nacional</v>
      </c>
      <c r="O247" s="146">
        <v>1</v>
      </c>
      <c r="P247" s="146">
        <v>1</v>
      </c>
      <c r="Q247" s="147">
        <v>11</v>
      </c>
      <c r="R247" s="148" t="s">
        <v>51</v>
      </c>
      <c r="S247" s="149" t="s">
        <v>730</v>
      </c>
      <c r="T247" s="150" t="s">
        <v>53</v>
      </c>
      <c r="U247" s="151">
        <f t="shared" si="22"/>
        <v>2000</v>
      </c>
      <c r="V247" s="152">
        <f t="shared" si="23"/>
        <v>2000</v>
      </c>
      <c r="W247" s="153" t="s">
        <v>54</v>
      </c>
      <c r="X247" s="153" t="s">
        <v>55</v>
      </c>
      <c r="Y247" s="154" t="s">
        <v>56</v>
      </c>
      <c r="Z247" s="155" t="s">
        <v>57</v>
      </c>
      <c r="AA247" s="156" t="s">
        <v>42</v>
      </c>
      <c r="AB247" s="157" t="s">
        <v>58</v>
      </c>
      <c r="AC247" s="158" t="s">
        <v>59</v>
      </c>
      <c r="AD247" s="153" t="s">
        <v>54</v>
      </c>
      <c r="AE247" s="153" t="s">
        <v>60</v>
      </c>
      <c r="AF247" s="159" t="s">
        <v>61</v>
      </c>
      <c r="AG247" s="159" t="s">
        <v>62</v>
      </c>
      <c r="AH247" s="159" t="s">
        <v>63</v>
      </c>
      <c r="AI247" s="159" t="s">
        <v>64</v>
      </c>
      <c r="AJ247" s="159" t="s">
        <v>64</v>
      </c>
      <c r="AK247" s="197" t="s">
        <v>64</v>
      </c>
    </row>
    <row r="248" spans="1:41" s="30" customFormat="1" ht="84.75" customHeight="1" thickBot="1" x14ac:dyDescent="0.25">
      <c r="A248" s="1"/>
      <c r="B248" s="196" t="s">
        <v>42</v>
      </c>
      <c r="C248" s="143">
        <v>1440</v>
      </c>
      <c r="D248" s="143" t="s">
        <v>724</v>
      </c>
      <c r="E248" s="143" t="s">
        <v>132</v>
      </c>
      <c r="F248" s="175" t="s">
        <v>123</v>
      </c>
      <c r="G248" s="175" t="s">
        <v>124</v>
      </c>
      <c r="H248" s="175" t="s">
        <v>731</v>
      </c>
      <c r="I248" s="176">
        <f>10000000-(6000000+1025705)</f>
        <v>2974295</v>
      </c>
      <c r="J248" s="177" t="s">
        <v>60</v>
      </c>
      <c r="K248" s="177" t="s">
        <v>48</v>
      </c>
      <c r="L248" s="178" t="s">
        <v>732</v>
      </c>
      <c r="M248" s="143" t="s">
        <v>733</v>
      </c>
      <c r="N248" s="160" t="s">
        <v>731</v>
      </c>
      <c r="O248" s="146">
        <v>1</v>
      </c>
      <c r="P248" s="146">
        <v>1</v>
      </c>
      <c r="Q248" s="147">
        <v>11</v>
      </c>
      <c r="R248" s="148" t="s">
        <v>51</v>
      </c>
      <c r="S248" s="149" t="s">
        <v>734</v>
      </c>
      <c r="T248" s="150" t="s">
        <v>53</v>
      </c>
      <c r="U248" s="151">
        <f t="shared" si="22"/>
        <v>2974295</v>
      </c>
      <c r="V248" s="152">
        <f t="shared" si="23"/>
        <v>2974295</v>
      </c>
      <c r="W248" s="153" t="s">
        <v>54</v>
      </c>
      <c r="X248" s="153" t="s">
        <v>55</v>
      </c>
      <c r="Y248" s="154" t="s">
        <v>56</v>
      </c>
      <c r="Z248" s="155" t="s">
        <v>57</v>
      </c>
      <c r="AA248" s="156" t="s">
        <v>42</v>
      </c>
      <c r="AB248" s="157" t="s">
        <v>58</v>
      </c>
      <c r="AC248" s="158" t="s">
        <v>59</v>
      </c>
      <c r="AD248" s="153" t="s">
        <v>54</v>
      </c>
      <c r="AE248" s="153" t="s">
        <v>60</v>
      </c>
      <c r="AF248" s="159" t="s">
        <v>61</v>
      </c>
      <c r="AG248" s="159" t="s">
        <v>62</v>
      </c>
      <c r="AH248" s="159" t="s">
        <v>63</v>
      </c>
      <c r="AI248" s="159" t="s">
        <v>64</v>
      </c>
      <c r="AJ248" s="159" t="s">
        <v>64</v>
      </c>
      <c r="AK248" s="197" t="s">
        <v>64</v>
      </c>
      <c r="AL248" s="42"/>
      <c r="AM248" s="42"/>
      <c r="AN248" s="42"/>
      <c r="AO248" s="42"/>
    </row>
    <row r="249" spans="1:41" s="30" customFormat="1" ht="84.75" customHeight="1" thickBot="1" x14ac:dyDescent="0.25">
      <c r="A249" s="1"/>
      <c r="B249" s="196" t="s">
        <v>42</v>
      </c>
      <c r="C249" s="143">
        <v>1440</v>
      </c>
      <c r="D249" s="143" t="s">
        <v>724</v>
      </c>
      <c r="E249" s="143" t="s">
        <v>132</v>
      </c>
      <c r="F249" s="175" t="s">
        <v>128</v>
      </c>
      <c r="G249" s="175" t="s">
        <v>129</v>
      </c>
      <c r="H249" s="175" t="s">
        <v>731</v>
      </c>
      <c r="I249" s="176">
        <v>0</v>
      </c>
      <c r="J249" s="177" t="s">
        <v>48</v>
      </c>
      <c r="K249" s="177" t="s">
        <v>48</v>
      </c>
      <c r="L249" s="178" t="s">
        <v>732</v>
      </c>
      <c r="M249" s="143" t="s">
        <v>733</v>
      </c>
      <c r="N249" s="160"/>
      <c r="O249" s="146">
        <v>1</v>
      </c>
      <c r="P249" s="146">
        <v>1</v>
      </c>
      <c r="Q249" s="147">
        <v>11</v>
      </c>
      <c r="R249" s="148" t="s">
        <v>51</v>
      </c>
      <c r="S249" s="149" t="s">
        <v>735</v>
      </c>
      <c r="T249" s="150" t="s">
        <v>53</v>
      </c>
      <c r="U249" s="151">
        <f t="shared" si="22"/>
        <v>0</v>
      </c>
      <c r="V249" s="152">
        <f t="shared" si="23"/>
        <v>0</v>
      </c>
      <c r="W249" s="153" t="s">
        <v>54</v>
      </c>
      <c r="X249" s="153" t="s">
        <v>55</v>
      </c>
      <c r="Y249" s="154" t="s">
        <v>56</v>
      </c>
      <c r="Z249" s="155" t="s">
        <v>57</v>
      </c>
      <c r="AA249" s="156" t="s">
        <v>42</v>
      </c>
      <c r="AB249" s="157" t="s">
        <v>58</v>
      </c>
      <c r="AC249" s="158" t="s">
        <v>59</v>
      </c>
      <c r="AD249" s="153" t="s">
        <v>54</v>
      </c>
      <c r="AE249" s="153" t="s">
        <v>60</v>
      </c>
      <c r="AF249" s="159" t="s">
        <v>61</v>
      </c>
      <c r="AG249" s="159" t="s">
        <v>62</v>
      </c>
      <c r="AH249" s="159" t="s">
        <v>63</v>
      </c>
      <c r="AI249" s="159" t="s">
        <v>64</v>
      </c>
      <c r="AJ249" s="159" t="s">
        <v>64</v>
      </c>
      <c r="AK249" s="197" t="s">
        <v>64</v>
      </c>
      <c r="AL249" s="42"/>
      <c r="AM249" s="42"/>
      <c r="AN249" s="42"/>
      <c r="AO249" s="42"/>
    </row>
    <row r="250" spans="1:41" s="30" customFormat="1" ht="84.75" customHeight="1" thickBot="1" x14ac:dyDescent="0.25">
      <c r="A250" s="1"/>
      <c r="B250" s="196" t="s">
        <v>42</v>
      </c>
      <c r="C250" s="143">
        <v>1450</v>
      </c>
      <c r="D250" s="143" t="s">
        <v>736</v>
      </c>
      <c r="E250" s="143" t="s">
        <v>132</v>
      </c>
      <c r="F250" s="175" t="s">
        <v>111</v>
      </c>
      <c r="G250" s="175" t="s">
        <v>112</v>
      </c>
      <c r="H250" s="175" t="s">
        <v>737</v>
      </c>
      <c r="I250" s="176">
        <f>24000000+ 6650600-(1700000+3610800)</f>
        <v>25339800</v>
      </c>
      <c r="J250" s="177" t="s">
        <v>60</v>
      </c>
      <c r="K250" s="177" t="s">
        <v>48</v>
      </c>
      <c r="L250" s="178" t="s">
        <v>738</v>
      </c>
      <c r="M250" s="143">
        <v>44111500</v>
      </c>
      <c r="N250" s="145" t="str">
        <f>H250</f>
        <v>Adquirir agendas institucionales para  las Bienvenida de estudiantes de la UPN.</v>
      </c>
      <c r="O250" s="146">
        <v>1</v>
      </c>
      <c r="P250" s="146">
        <v>1</v>
      </c>
      <c r="Q250" s="147">
        <v>11</v>
      </c>
      <c r="R250" s="148" t="s">
        <v>51</v>
      </c>
      <c r="S250" s="149" t="s">
        <v>739</v>
      </c>
      <c r="T250" s="150" t="s">
        <v>53</v>
      </c>
      <c r="U250" s="151">
        <f t="shared" si="22"/>
        <v>25339800</v>
      </c>
      <c r="V250" s="152">
        <f t="shared" si="23"/>
        <v>25339800</v>
      </c>
      <c r="W250" s="153" t="s">
        <v>54</v>
      </c>
      <c r="X250" s="153" t="s">
        <v>55</v>
      </c>
      <c r="Y250" s="154" t="s">
        <v>56</v>
      </c>
      <c r="Z250" s="155" t="s">
        <v>57</v>
      </c>
      <c r="AA250" s="156" t="s">
        <v>42</v>
      </c>
      <c r="AB250" s="157" t="s">
        <v>58</v>
      </c>
      <c r="AC250" s="158" t="s">
        <v>59</v>
      </c>
      <c r="AD250" s="153" t="s">
        <v>54</v>
      </c>
      <c r="AE250" s="153" t="s">
        <v>60</v>
      </c>
      <c r="AF250" s="159" t="s">
        <v>61</v>
      </c>
      <c r="AG250" s="159" t="s">
        <v>62</v>
      </c>
      <c r="AH250" s="159" t="s">
        <v>63</v>
      </c>
      <c r="AI250" s="159" t="s">
        <v>64</v>
      </c>
      <c r="AJ250" s="159" t="s">
        <v>64</v>
      </c>
      <c r="AK250" s="197" t="s">
        <v>64</v>
      </c>
      <c r="AL250" s="42"/>
      <c r="AM250" s="42"/>
      <c r="AN250" s="42"/>
      <c r="AO250" s="42"/>
    </row>
    <row r="251" spans="1:41" s="30" customFormat="1" ht="84.75" customHeight="1" thickBot="1" x14ac:dyDescent="0.25">
      <c r="A251" s="1"/>
      <c r="B251" s="196" t="s">
        <v>42</v>
      </c>
      <c r="C251" s="143">
        <v>1470</v>
      </c>
      <c r="D251" s="143" t="s">
        <v>131</v>
      </c>
      <c r="E251" s="143" t="s">
        <v>132</v>
      </c>
      <c r="F251" s="175" t="s">
        <v>126</v>
      </c>
      <c r="G251" s="175" t="s">
        <v>127</v>
      </c>
      <c r="H251" s="175" t="s">
        <v>740</v>
      </c>
      <c r="I251" s="176">
        <v>30000000</v>
      </c>
      <c r="J251" s="177" t="s">
        <v>60</v>
      </c>
      <c r="K251" s="177" t="s">
        <v>48</v>
      </c>
      <c r="L251" s="178" t="s">
        <v>741</v>
      </c>
      <c r="M251" s="143">
        <v>85101500</v>
      </c>
      <c r="N251" s="145" t="str">
        <f>H251</f>
        <v>Prestar los servicios en atención psicológica y psiquiátrica,  para brindar una atención prioritaria a los estudiantes de la universidad Pedagógica Nacional.</v>
      </c>
      <c r="O251" s="146">
        <v>1</v>
      </c>
      <c r="P251" s="146">
        <v>1</v>
      </c>
      <c r="Q251" s="147">
        <v>11</v>
      </c>
      <c r="R251" s="148" t="s">
        <v>51</v>
      </c>
      <c r="S251" s="149" t="s">
        <v>742</v>
      </c>
      <c r="T251" s="150" t="s">
        <v>53</v>
      </c>
      <c r="U251" s="151">
        <f t="shared" si="22"/>
        <v>30000000</v>
      </c>
      <c r="V251" s="152">
        <f t="shared" si="23"/>
        <v>30000000</v>
      </c>
      <c r="W251" s="153" t="s">
        <v>54</v>
      </c>
      <c r="X251" s="153" t="s">
        <v>55</v>
      </c>
      <c r="Y251" s="154" t="s">
        <v>56</v>
      </c>
      <c r="Z251" s="155" t="s">
        <v>57</v>
      </c>
      <c r="AA251" s="156" t="s">
        <v>42</v>
      </c>
      <c r="AB251" s="157" t="s">
        <v>58</v>
      </c>
      <c r="AC251" s="158" t="s">
        <v>59</v>
      </c>
      <c r="AD251" s="153" t="s">
        <v>54</v>
      </c>
      <c r="AE251" s="153" t="s">
        <v>60</v>
      </c>
      <c r="AF251" s="159" t="s">
        <v>61</v>
      </c>
      <c r="AG251" s="159" t="s">
        <v>62</v>
      </c>
      <c r="AH251" s="159" t="s">
        <v>63</v>
      </c>
      <c r="AI251" s="159" t="s">
        <v>64</v>
      </c>
      <c r="AJ251" s="159" t="s">
        <v>64</v>
      </c>
      <c r="AK251" s="197" t="s">
        <v>64</v>
      </c>
      <c r="AL251" s="42"/>
      <c r="AM251" s="42"/>
      <c r="AN251" s="42"/>
      <c r="AO251" s="42"/>
    </row>
    <row r="252" spans="1:41" s="30" customFormat="1" ht="84.75" customHeight="1" thickBot="1" x14ac:dyDescent="0.25">
      <c r="A252" s="1"/>
      <c r="B252" s="196" t="s">
        <v>42</v>
      </c>
      <c r="C252" s="143">
        <v>1470</v>
      </c>
      <c r="D252" s="143" t="s">
        <v>131</v>
      </c>
      <c r="E252" s="143" t="s">
        <v>132</v>
      </c>
      <c r="F252" s="175" t="s">
        <v>123</v>
      </c>
      <c r="G252" s="175" t="s">
        <v>124</v>
      </c>
      <c r="H252" s="175" t="s">
        <v>743</v>
      </c>
      <c r="I252" s="176">
        <v>6997200</v>
      </c>
      <c r="J252" s="177" t="s">
        <v>60</v>
      </c>
      <c r="K252" s="177" t="s">
        <v>48</v>
      </c>
      <c r="L252" s="178" t="s">
        <v>744</v>
      </c>
      <c r="M252" s="143" t="s">
        <v>745</v>
      </c>
      <c r="N252" s="145" t="str">
        <f>H252</f>
        <v>Realizar el mantenimiento preventivo y Correctivo de Equipos de la Unidad Odontológica y de salud de la universidad Pedagógica Nacional.</v>
      </c>
      <c r="O252" s="146">
        <v>1</v>
      </c>
      <c r="P252" s="146">
        <v>1</v>
      </c>
      <c r="Q252" s="147">
        <v>11</v>
      </c>
      <c r="R252" s="148" t="s">
        <v>51</v>
      </c>
      <c r="S252" s="149" t="s">
        <v>746</v>
      </c>
      <c r="T252" s="150" t="s">
        <v>53</v>
      </c>
      <c r="U252" s="151">
        <f t="shared" si="22"/>
        <v>6997200</v>
      </c>
      <c r="V252" s="152">
        <f t="shared" si="23"/>
        <v>6997200</v>
      </c>
      <c r="W252" s="153" t="s">
        <v>54</v>
      </c>
      <c r="X252" s="153" t="s">
        <v>55</v>
      </c>
      <c r="Y252" s="154" t="s">
        <v>56</v>
      </c>
      <c r="Z252" s="155" t="s">
        <v>57</v>
      </c>
      <c r="AA252" s="156" t="s">
        <v>42</v>
      </c>
      <c r="AB252" s="157" t="s">
        <v>58</v>
      </c>
      <c r="AC252" s="158" t="s">
        <v>59</v>
      </c>
      <c r="AD252" s="153" t="s">
        <v>54</v>
      </c>
      <c r="AE252" s="153" t="s">
        <v>60</v>
      </c>
      <c r="AF252" s="159" t="s">
        <v>61</v>
      </c>
      <c r="AG252" s="159" t="s">
        <v>62</v>
      </c>
      <c r="AH252" s="159" t="s">
        <v>63</v>
      </c>
      <c r="AI252" s="159" t="s">
        <v>64</v>
      </c>
      <c r="AJ252" s="159" t="s">
        <v>64</v>
      </c>
      <c r="AK252" s="197" t="s">
        <v>64</v>
      </c>
      <c r="AL252" s="42"/>
      <c r="AM252" s="42"/>
      <c r="AN252" s="42"/>
      <c r="AO252" s="42"/>
    </row>
    <row r="253" spans="1:41" s="30" customFormat="1" ht="84.75" customHeight="1" thickBot="1" x14ac:dyDescent="0.25">
      <c r="A253" s="1"/>
      <c r="B253" s="196" t="s">
        <v>42</v>
      </c>
      <c r="C253" s="143">
        <v>1470</v>
      </c>
      <c r="D253" s="143" t="s">
        <v>131</v>
      </c>
      <c r="E253" s="143" t="s">
        <v>132</v>
      </c>
      <c r="F253" s="175" t="s">
        <v>128</v>
      </c>
      <c r="G253" s="175" t="s">
        <v>129</v>
      </c>
      <c r="H253" s="175" t="s">
        <v>747</v>
      </c>
      <c r="I253" s="176">
        <f>3754458- 975439</f>
        <v>2779019</v>
      </c>
      <c r="J253" s="177" t="s">
        <v>60</v>
      </c>
      <c r="K253" s="177" t="s">
        <v>48</v>
      </c>
      <c r="L253" s="178" t="s">
        <v>748</v>
      </c>
      <c r="M253" s="143">
        <v>51212100</v>
      </c>
      <c r="N253" s="237" t="str">
        <f>H253</f>
        <v>Adquirir insumos odontológicos, requeridos para el normal funcionamiento y prestación del servicio del Programa de Salud de la Subdirección de Bienestar Universitario</v>
      </c>
      <c r="O253" s="146">
        <v>1</v>
      </c>
      <c r="P253" s="146">
        <v>1</v>
      </c>
      <c r="Q253" s="147">
        <v>11</v>
      </c>
      <c r="R253" s="148" t="s">
        <v>51</v>
      </c>
      <c r="S253" s="149" t="s">
        <v>749</v>
      </c>
      <c r="T253" s="150" t="s">
        <v>53</v>
      </c>
      <c r="U253" s="151">
        <f t="shared" si="22"/>
        <v>2779019</v>
      </c>
      <c r="V253" s="152">
        <f t="shared" si="23"/>
        <v>2779019</v>
      </c>
      <c r="W253" s="153" t="s">
        <v>54</v>
      </c>
      <c r="X253" s="153" t="s">
        <v>55</v>
      </c>
      <c r="Y253" s="154" t="s">
        <v>56</v>
      </c>
      <c r="Z253" s="155" t="s">
        <v>57</v>
      </c>
      <c r="AA253" s="156" t="s">
        <v>42</v>
      </c>
      <c r="AB253" s="157" t="s">
        <v>58</v>
      </c>
      <c r="AC253" s="158" t="s">
        <v>59</v>
      </c>
      <c r="AD253" s="153" t="s">
        <v>54</v>
      </c>
      <c r="AE253" s="153" t="s">
        <v>60</v>
      </c>
      <c r="AF253" s="159" t="s">
        <v>61</v>
      </c>
      <c r="AG253" s="159" t="s">
        <v>62</v>
      </c>
      <c r="AH253" s="159" t="s">
        <v>63</v>
      </c>
      <c r="AI253" s="159" t="s">
        <v>64</v>
      </c>
      <c r="AJ253" s="159" t="s">
        <v>64</v>
      </c>
      <c r="AK253" s="197" t="s">
        <v>64</v>
      </c>
      <c r="AL253" s="42"/>
      <c r="AM253" s="42"/>
      <c r="AN253" s="42"/>
      <c r="AO253" s="42"/>
    </row>
    <row r="254" spans="1:41" s="30" customFormat="1" ht="84.75" customHeight="1" thickBot="1" x14ac:dyDescent="0.25">
      <c r="A254" s="1"/>
      <c r="B254" s="196" t="s">
        <v>42</v>
      </c>
      <c r="C254" s="143">
        <v>1470</v>
      </c>
      <c r="D254" s="143" t="s">
        <v>131</v>
      </c>
      <c r="E254" s="143" t="s">
        <v>132</v>
      </c>
      <c r="F254" s="175" t="s">
        <v>111</v>
      </c>
      <c r="G254" s="175" t="s">
        <v>112</v>
      </c>
      <c r="H254" s="175" t="s">
        <v>747</v>
      </c>
      <c r="I254" s="176">
        <v>4138808</v>
      </c>
      <c r="J254" s="177" t="s">
        <v>60</v>
      </c>
      <c r="K254" s="177" t="s">
        <v>48</v>
      </c>
      <c r="L254" s="178" t="s">
        <v>748</v>
      </c>
      <c r="M254" s="143">
        <v>51212100</v>
      </c>
      <c r="N254" s="237"/>
      <c r="O254" s="146">
        <v>1</v>
      </c>
      <c r="P254" s="146">
        <v>1</v>
      </c>
      <c r="Q254" s="147">
        <v>11</v>
      </c>
      <c r="R254" s="148" t="s">
        <v>51</v>
      </c>
      <c r="S254" s="149" t="s">
        <v>750</v>
      </c>
      <c r="T254" s="150" t="s">
        <v>53</v>
      </c>
      <c r="U254" s="151">
        <f t="shared" si="22"/>
        <v>4138808</v>
      </c>
      <c r="V254" s="152">
        <f t="shared" si="23"/>
        <v>4138808</v>
      </c>
      <c r="W254" s="153" t="s">
        <v>54</v>
      </c>
      <c r="X254" s="153" t="s">
        <v>55</v>
      </c>
      <c r="Y254" s="154" t="s">
        <v>56</v>
      </c>
      <c r="Z254" s="155" t="s">
        <v>57</v>
      </c>
      <c r="AA254" s="156" t="s">
        <v>42</v>
      </c>
      <c r="AB254" s="157" t="s">
        <v>58</v>
      </c>
      <c r="AC254" s="158" t="s">
        <v>59</v>
      </c>
      <c r="AD254" s="153" t="s">
        <v>54</v>
      </c>
      <c r="AE254" s="153" t="s">
        <v>60</v>
      </c>
      <c r="AF254" s="159" t="s">
        <v>61</v>
      </c>
      <c r="AG254" s="159" t="s">
        <v>62</v>
      </c>
      <c r="AH254" s="159" t="s">
        <v>63</v>
      </c>
      <c r="AI254" s="159" t="s">
        <v>64</v>
      </c>
      <c r="AJ254" s="159" t="s">
        <v>64</v>
      </c>
      <c r="AK254" s="197" t="s">
        <v>64</v>
      </c>
      <c r="AL254" s="42"/>
      <c r="AM254" s="42"/>
      <c r="AN254" s="42"/>
      <c r="AO254" s="42"/>
    </row>
    <row r="255" spans="1:41" s="30" customFormat="1" ht="84.75" customHeight="1" thickBot="1" x14ac:dyDescent="0.25">
      <c r="A255" s="1"/>
      <c r="B255" s="196" t="s">
        <v>42</v>
      </c>
      <c r="C255" s="143">
        <v>1470</v>
      </c>
      <c r="D255" s="143" t="s">
        <v>131</v>
      </c>
      <c r="E255" s="143" t="s">
        <v>132</v>
      </c>
      <c r="F255" s="175" t="s">
        <v>114</v>
      </c>
      <c r="G255" s="175" t="s">
        <v>115</v>
      </c>
      <c r="H255" s="175" t="s">
        <v>747</v>
      </c>
      <c r="I255" s="176">
        <f>3950423-7392</f>
        <v>3943031</v>
      </c>
      <c r="J255" s="177" t="s">
        <v>60</v>
      </c>
      <c r="K255" s="177" t="s">
        <v>48</v>
      </c>
      <c r="L255" s="178" t="s">
        <v>748</v>
      </c>
      <c r="M255" s="143">
        <v>51212100</v>
      </c>
      <c r="N255" s="237"/>
      <c r="O255" s="146">
        <v>1</v>
      </c>
      <c r="P255" s="146">
        <v>1</v>
      </c>
      <c r="Q255" s="147">
        <v>11</v>
      </c>
      <c r="R255" s="148" t="s">
        <v>51</v>
      </c>
      <c r="S255" s="149" t="s">
        <v>751</v>
      </c>
      <c r="T255" s="150" t="s">
        <v>53</v>
      </c>
      <c r="U255" s="151">
        <f t="shared" si="22"/>
        <v>3943031</v>
      </c>
      <c r="V255" s="152">
        <f t="shared" si="23"/>
        <v>3943031</v>
      </c>
      <c r="W255" s="153" t="s">
        <v>54</v>
      </c>
      <c r="X255" s="153" t="s">
        <v>55</v>
      </c>
      <c r="Y255" s="154" t="s">
        <v>56</v>
      </c>
      <c r="Z255" s="155" t="s">
        <v>57</v>
      </c>
      <c r="AA255" s="156" t="s">
        <v>42</v>
      </c>
      <c r="AB255" s="157" t="s">
        <v>58</v>
      </c>
      <c r="AC255" s="158" t="s">
        <v>59</v>
      </c>
      <c r="AD255" s="153" t="s">
        <v>54</v>
      </c>
      <c r="AE255" s="153" t="s">
        <v>60</v>
      </c>
      <c r="AF255" s="159" t="s">
        <v>61</v>
      </c>
      <c r="AG255" s="159" t="s">
        <v>62</v>
      </c>
      <c r="AH255" s="159" t="s">
        <v>63</v>
      </c>
      <c r="AI255" s="159" t="s">
        <v>64</v>
      </c>
      <c r="AJ255" s="159" t="s">
        <v>64</v>
      </c>
      <c r="AK255" s="197" t="s">
        <v>64</v>
      </c>
      <c r="AL255" s="42"/>
      <c r="AM255" s="42"/>
      <c r="AN255" s="42"/>
      <c r="AO255" s="42"/>
    </row>
    <row r="256" spans="1:41" s="30" customFormat="1" ht="84.75" customHeight="1" thickBot="1" x14ac:dyDescent="0.25">
      <c r="A256" s="1"/>
      <c r="B256" s="196" t="s">
        <v>42</v>
      </c>
      <c r="C256" s="143">
        <v>1470</v>
      </c>
      <c r="D256" s="143" t="s">
        <v>131</v>
      </c>
      <c r="E256" s="143" t="s">
        <v>132</v>
      </c>
      <c r="F256" s="175" t="s">
        <v>111</v>
      </c>
      <c r="G256" s="175" t="s">
        <v>112</v>
      </c>
      <c r="H256" s="175" t="s">
        <v>752</v>
      </c>
      <c r="I256" s="176">
        <f>33716450-(4261229+1673317)</f>
        <v>27781904</v>
      </c>
      <c r="J256" s="177" t="s">
        <v>60</v>
      </c>
      <c r="K256" s="177" t="s">
        <v>48</v>
      </c>
      <c r="L256" s="178" t="s">
        <v>753</v>
      </c>
      <c r="M256" s="143" t="s">
        <v>754</v>
      </c>
      <c r="N256" s="237" t="str">
        <f>H256</f>
        <v xml:space="preserve">Adquirir insumos médicos y de fisioterapia, requeridos para el normal funcionamiento y prestación del servicio del Programa de Salud de la Subdirección de Bienestar Universitario </v>
      </c>
      <c r="O256" s="153">
        <v>5</v>
      </c>
      <c r="P256" s="146">
        <v>7</v>
      </c>
      <c r="Q256" s="147">
        <v>11</v>
      </c>
      <c r="R256" s="148" t="s">
        <v>51</v>
      </c>
      <c r="S256" s="149" t="s">
        <v>742</v>
      </c>
      <c r="T256" s="150" t="s">
        <v>53</v>
      </c>
      <c r="U256" s="151">
        <f t="shared" si="22"/>
        <v>27781904</v>
      </c>
      <c r="V256" s="152">
        <f t="shared" si="23"/>
        <v>27781904</v>
      </c>
      <c r="W256" s="153" t="s">
        <v>54</v>
      </c>
      <c r="X256" s="153" t="s">
        <v>55</v>
      </c>
      <c r="Y256" s="154" t="s">
        <v>56</v>
      </c>
      <c r="Z256" s="155" t="s">
        <v>57</v>
      </c>
      <c r="AA256" s="156" t="s">
        <v>42</v>
      </c>
      <c r="AB256" s="157" t="s">
        <v>58</v>
      </c>
      <c r="AC256" s="158" t="s">
        <v>59</v>
      </c>
      <c r="AD256" s="153" t="s">
        <v>54</v>
      </c>
      <c r="AE256" s="153" t="s">
        <v>60</v>
      </c>
      <c r="AF256" s="159" t="s">
        <v>61</v>
      </c>
      <c r="AG256" s="159" t="s">
        <v>62</v>
      </c>
      <c r="AH256" s="159" t="s">
        <v>63</v>
      </c>
      <c r="AI256" s="159" t="s">
        <v>64</v>
      </c>
      <c r="AJ256" s="159" t="s">
        <v>64</v>
      </c>
      <c r="AK256" s="197" t="s">
        <v>64</v>
      </c>
      <c r="AL256" s="42"/>
      <c r="AM256" s="42"/>
      <c r="AN256" s="42"/>
      <c r="AO256" s="42"/>
    </row>
    <row r="257" spans="1:41" s="30" customFormat="1" ht="84.75" customHeight="1" thickBot="1" x14ac:dyDescent="0.25">
      <c r="A257" s="1"/>
      <c r="B257" s="196" t="s">
        <v>42</v>
      </c>
      <c r="C257" s="143">
        <v>1470</v>
      </c>
      <c r="D257" s="143" t="s">
        <v>131</v>
      </c>
      <c r="E257" s="143" t="s">
        <v>132</v>
      </c>
      <c r="F257" s="175" t="s">
        <v>114</v>
      </c>
      <c r="G257" s="175" t="s">
        <v>115</v>
      </c>
      <c r="H257" s="175" t="s">
        <v>752</v>
      </c>
      <c r="I257" s="176">
        <f>10709938-(I258+I259+I260+170062)</f>
        <v>3149804</v>
      </c>
      <c r="J257" s="177" t="s">
        <v>60</v>
      </c>
      <c r="K257" s="177" t="s">
        <v>48</v>
      </c>
      <c r="L257" s="178" t="s">
        <v>753</v>
      </c>
      <c r="M257" s="143" t="s">
        <v>755</v>
      </c>
      <c r="N257" s="237"/>
      <c r="O257" s="153">
        <v>5</v>
      </c>
      <c r="P257" s="146">
        <v>7</v>
      </c>
      <c r="Q257" s="147">
        <v>11</v>
      </c>
      <c r="R257" s="148" t="s">
        <v>51</v>
      </c>
      <c r="S257" s="149" t="s">
        <v>742</v>
      </c>
      <c r="T257" s="150" t="s">
        <v>53</v>
      </c>
      <c r="U257" s="151">
        <f t="shared" si="22"/>
        <v>3149804</v>
      </c>
      <c r="V257" s="152">
        <f t="shared" si="23"/>
        <v>3149804</v>
      </c>
      <c r="W257" s="153" t="s">
        <v>54</v>
      </c>
      <c r="X257" s="153" t="s">
        <v>55</v>
      </c>
      <c r="Y257" s="154" t="s">
        <v>56</v>
      </c>
      <c r="Z257" s="155" t="s">
        <v>57</v>
      </c>
      <c r="AA257" s="156" t="s">
        <v>42</v>
      </c>
      <c r="AB257" s="157" t="s">
        <v>58</v>
      </c>
      <c r="AC257" s="158" t="s">
        <v>59</v>
      </c>
      <c r="AD257" s="153" t="s">
        <v>54</v>
      </c>
      <c r="AE257" s="153" t="s">
        <v>60</v>
      </c>
      <c r="AF257" s="159" t="s">
        <v>61</v>
      </c>
      <c r="AG257" s="159" t="s">
        <v>62</v>
      </c>
      <c r="AH257" s="159" t="s">
        <v>63</v>
      </c>
      <c r="AI257" s="159" t="s">
        <v>64</v>
      </c>
      <c r="AJ257" s="159" t="s">
        <v>64</v>
      </c>
      <c r="AK257" s="197" t="s">
        <v>64</v>
      </c>
      <c r="AL257" s="42"/>
      <c r="AM257" s="42"/>
      <c r="AN257" s="42"/>
      <c r="AO257" s="42"/>
    </row>
    <row r="258" spans="1:41" s="30" customFormat="1" ht="84.75" customHeight="1" thickBot="1" x14ac:dyDescent="0.25">
      <c r="A258" s="1"/>
      <c r="B258" s="196" t="s">
        <v>42</v>
      </c>
      <c r="C258" s="143">
        <v>1470</v>
      </c>
      <c r="D258" s="143" t="s">
        <v>131</v>
      </c>
      <c r="E258" s="143" t="s">
        <v>132</v>
      </c>
      <c r="F258" s="175" t="s">
        <v>756</v>
      </c>
      <c r="G258" s="175" t="s">
        <v>757</v>
      </c>
      <c r="H258" s="175" t="s">
        <v>752</v>
      </c>
      <c r="I258" s="176">
        <v>2471802</v>
      </c>
      <c r="J258" s="177" t="s">
        <v>60</v>
      </c>
      <c r="K258" s="177" t="s">
        <v>48</v>
      </c>
      <c r="L258" s="178" t="s">
        <v>753</v>
      </c>
      <c r="M258" s="143" t="s">
        <v>758</v>
      </c>
      <c r="N258" s="237"/>
      <c r="O258" s="153">
        <v>5</v>
      </c>
      <c r="P258" s="146">
        <v>7</v>
      </c>
      <c r="Q258" s="147">
        <v>11</v>
      </c>
      <c r="R258" s="148" t="s">
        <v>51</v>
      </c>
      <c r="S258" s="149" t="s">
        <v>742</v>
      </c>
      <c r="T258" s="150" t="s">
        <v>53</v>
      </c>
      <c r="U258" s="151">
        <f t="shared" si="22"/>
        <v>2471802</v>
      </c>
      <c r="V258" s="152">
        <f t="shared" si="23"/>
        <v>2471802</v>
      </c>
      <c r="W258" s="153" t="s">
        <v>54</v>
      </c>
      <c r="X258" s="153" t="s">
        <v>55</v>
      </c>
      <c r="Y258" s="154" t="s">
        <v>56</v>
      </c>
      <c r="Z258" s="155" t="s">
        <v>57</v>
      </c>
      <c r="AA258" s="156" t="s">
        <v>42</v>
      </c>
      <c r="AB258" s="157" t="s">
        <v>58</v>
      </c>
      <c r="AC258" s="158" t="s">
        <v>59</v>
      </c>
      <c r="AD258" s="153" t="s">
        <v>54</v>
      </c>
      <c r="AE258" s="153" t="s">
        <v>60</v>
      </c>
      <c r="AF258" s="159" t="s">
        <v>61</v>
      </c>
      <c r="AG258" s="159" t="s">
        <v>62</v>
      </c>
      <c r="AH258" s="159" t="s">
        <v>63</v>
      </c>
      <c r="AI258" s="159" t="s">
        <v>64</v>
      </c>
      <c r="AJ258" s="159" t="s">
        <v>64</v>
      </c>
      <c r="AK258" s="197" t="s">
        <v>64</v>
      </c>
      <c r="AL258" s="42"/>
      <c r="AM258" s="42"/>
      <c r="AN258" s="42"/>
      <c r="AO258" s="42"/>
    </row>
    <row r="259" spans="1:41" s="30" customFormat="1" ht="84.75" customHeight="1" thickBot="1" x14ac:dyDescent="0.25">
      <c r="A259" s="1"/>
      <c r="B259" s="196" t="s">
        <v>42</v>
      </c>
      <c r="C259" s="143">
        <v>1470</v>
      </c>
      <c r="D259" s="143" t="s">
        <v>131</v>
      </c>
      <c r="E259" s="143" t="s">
        <v>132</v>
      </c>
      <c r="F259" s="175" t="s">
        <v>68</v>
      </c>
      <c r="G259" s="175" t="s">
        <v>69</v>
      </c>
      <c r="H259" s="175" t="s">
        <v>752</v>
      </c>
      <c r="I259" s="176">
        <v>2213400</v>
      </c>
      <c r="J259" s="177" t="s">
        <v>60</v>
      </c>
      <c r="K259" s="177" t="s">
        <v>48</v>
      </c>
      <c r="L259" s="178" t="s">
        <v>753</v>
      </c>
      <c r="M259" s="143">
        <v>23181800</v>
      </c>
      <c r="N259" s="237"/>
      <c r="O259" s="153">
        <v>5</v>
      </c>
      <c r="P259" s="146">
        <v>7</v>
      </c>
      <c r="Q259" s="147">
        <v>11</v>
      </c>
      <c r="R259" s="148" t="s">
        <v>51</v>
      </c>
      <c r="S259" s="149" t="s">
        <v>742</v>
      </c>
      <c r="T259" s="150" t="s">
        <v>53</v>
      </c>
      <c r="U259" s="151">
        <f t="shared" si="22"/>
        <v>2213400</v>
      </c>
      <c r="V259" s="152">
        <f t="shared" si="23"/>
        <v>2213400</v>
      </c>
      <c r="W259" s="153" t="s">
        <v>54</v>
      </c>
      <c r="X259" s="153" t="s">
        <v>55</v>
      </c>
      <c r="Y259" s="154" t="s">
        <v>56</v>
      </c>
      <c r="Z259" s="155" t="s">
        <v>57</v>
      </c>
      <c r="AA259" s="156" t="s">
        <v>42</v>
      </c>
      <c r="AB259" s="157" t="s">
        <v>58</v>
      </c>
      <c r="AC259" s="158" t="s">
        <v>59</v>
      </c>
      <c r="AD259" s="153" t="s">
        <v>54</v>
      </c>
      <c r="AE259" s="153" t="s">
        <v>60</v>
      </c>
      <c r="AF259" s="159" t="s">
        <v>61</v>
      </c>
      <c r="AG259" s="159" t="s">
        <v>62</v>
      </c>
      <c r="AH259" s="159" t="s">
        <v>63</v>
      </c>
      <c r="AI259" s="159" t="s">
        <v>64</v>
      </c>
      <c r="AJ259" s="159" t="s">
        <v>64</v>
      </c>
      <c r="AK259" s="197" t="s">
        <v>64</v>
      </c>
      <c r="AL259" s="42"/>
      <c r="AM259" s="42"/>
      <c r="AN259" s="42"/>
      <c r="AO259" s="42"/>
    </row>
    <row r="260" spans="1:41" s="30" customFormat="1" ht="84.75" customHeight="1" thickBot="1" x14ac:dyDescent="0.25">
      <c r="A260" s="1"/>
      <c r="B260" s="196" t="s">
        <v>42</v>
      </c>
      <c r="C260" s="143">
        <v>1470</v>
      </c>
      <c r="D260" s="143" t="s">
        <v>131</v>
      </c>
      <c r="E260" s="143" t="s">
        <v>132</v>
      </c>
      <c r="F260" s="175" t="s">
        <v>759</v>
      </c>
      <c r="G260" s="175" t="s">
        <v>94</v>
      </c>
      <c r="H260" s="175" t="s">
        <v>752</v>
      </c>
      <c r="I260" s="176">
        <v>2704870</v>
      </c>
      <c r="J260" s="177" t="s">
        <v>60</v>
      </c>
      <c r="K260" s="177" t="s">
        <v>48</v>
      </c>
      <c r="L260" s="178" t="s">
        <v>753</v>
      </c>
      <c r="M260" s="143">
        <v>41111500</v>
      </c>
      <c r="N260" s="237"/>
      <c r="O260" s="153">
        <v>5</v>
      </c>
      <c r="P260" s="146">
        <v>7</v>
      </c>
      <c r="Q260" s="147">
        <v>11</v>
      </c>
      <c r="R260" s="148" t="s">
        <v>51</v>
      </c>
      <c r="S260" s="149" t="s">
        <v>742</v>
      </c>
      <c r="T260" s="150" t="s">
        <v>53</v>
      </c>
      <c r="U260" s="151">
        <f t="shared" si="22"/>
        <v>2704870</v>
      </c>
      <c r="V260" s="152">
        <f t="shared" si="23"/>
        <v>2704870</v>
      </c>
      <c r="W260" s="153" t="s">
        <v>54</v>
      </c>
      <c r="X260" s="153" t="s">
        <v>55</v>
      </c>
      <c r="Y260" s="154" t="s">
        <v>56</v>
      </c>
      <c r="Z260" s="155" t="s">
        <v>57</v>
      </c>
      <c r="AA260" s="156" t="s">
        <v>42</v>
      </c>
      <c r="AB260" s="157" t="s">
        <v>58</v>
      </c>
      <c r="AC260" s="158" t="s">
        <v>59</v>
      </c>
      <c r="AD260" s="153" t="s">
        <v>54</v>
      </c>
      <c r="AE260" s="153" t="s">
        <v>60</v>
      </c>
      <c r="AF260" s="159" t="s">
        <v>61</v>
      </c>
      <c r="AG260" s="159" t="s">
        <v>62</v>
      </c>
      <c r="AH260" s="159" t="s">
        <v>63</v>
      </c>
      <c r="AI260" s="159" t="s">
        <v>64</v>
      </c>
      <c r="AJ260" s="159" t="s">
        <v>64</v>
      </c>
      <c r="AK260" s="197" t="s">
        <v>64</v>
      </c>
      <c r="AL260" s="42"/>
      <c r="AM260" s="42"/>
      <c r="AN260" s="42"/>
      <c r="AO260" s="42"/>
    </row>
    <row r="261" spans="1:41" s="30" customFormat="1" ht="84.75" customHeight="1" thickBot="1" x14ac:dyDescent="0.25">
      <c r="A261" s="1"/>
      <c r="B261" s="196" t="s">
        <v>42</v>
      </c>
      <c r="C261" s="143">
        <v>1470</v>
      </c>
      <c r="D261" s="143" t="s">
        <v>131</v>
      </c>
      <c r="E261" s="143" t="s">
        <v>132</v>
      </c>
      <c r="F261" s="175" t="s">
        <v>128</v>
      </c>
      <c r="G261" s="175" t="s">
        <v>129</v>
      </c>
      <c r="H261" s="175" t="s">
        <v>752</v>
      </c>
      <c r="I261" s="176">
        <f>6790574+4261229-(575269+314815)</f>
        <v>10161719</v>
      </c>
      <c r="J261" s="177" t="s">
        <v>60</v>
      </c>
      <c r="K261" s="177" t="s">
        <v>48</v>
      </c>
      <c r="L261" s="178" t="s">
        <v>753</v>
      </c>
      <c r="M261" s="143" t="s">
        <v>755</v>
      </c>
      <c r="N261" s="237"/>
      <c r="O261" s="153">
        <v>5</v>
      </c>
      <c r="P261" s="146">
        <v>7</v>
      </c>
      <c r="Q261" s="147">
        <v>11</v>
      </c>
      <c r="R261" s="148" t="s">
        <v>51</v>
      </c>
      <c r="S261" s="149" t="s">
        <v>742</v>
      </c>
      <c r="T261" s="150" t="s">
        <v>53</v>
      </c>
      <c r="U261" s="151">
        <f t="shared" si="22"/>
        <v>10161719</v>
      </c>
      <c r="V261" s="152">
        <f t="shared" si="23"/>
        <v>10161719</v>
      </c>
      <c r="W261" s="153" t="s">
        <v>54</v>
      </c>
      <c r="X261" s="153" t="s">
        <v>55</v>
      </c>
      <c r="Y261" s="154" t="s">
        <v>56</v>
      </c>
      <c r="Z261" s="155" t="s">
        <v>57</v>
      </c>
      <c r="AA261" s="156" t="s">
        <v>42</v>
      </c>
      <c r="AB261" s="157" t="s">
        <v>58</v>
      </c>
      <c r="AC261" s="158" t="s">
        <v>59</v>
      </c>
      <c r="AD261" s="153" t="s">
        <v>54</v>
      </c>
      <c r="AE261" s="153" t="s">
        <v>60</v>
      </c>
      <c r="AF261" s="159" t="s">
        <v>61</v>
      </c>
      <c r="AG261" s="159" t="s">
        <v>62</v>
      </c>
      <c r="AH261" s="159" t="s">
        <v>63</v>
      </c>
      <c r="AI261" s="159" t="s">
        <v>64</v>
      </c>
      <c r="AJ261" s="159" t="s">
        <v>64</v>
      </c>
      <c r="AK261" s="197" t="s">
        <v>64</v>
      </c>
      <c r="AL261" s="42"/>
      <c r="AM261" s="42"/>
      <c r="AN261" s="42"/>
      <c r="AO261" s="42"/>
    </row>
    <row r="262" spans="1:41" s="30" customFormat="1" ht="84.75" customHeight="1" thickBot="1" x14ac:dyDescent="0.25">
      <c r="A262" s="1"/>
      <c r="B262" s="196" t="s">
        <v>42</v>
      </c>
      <c r="C262" s="143">
        <v>1470</v>
      </c>
      <c r="D262" s="143" t="s">
        <v>131</v>
      </c>
      <c r="E262" s="143" t="s">
        <v>132</v>
      </c>
      <c r="F262" s="175" t="s">
        <v>760</v>
      </c>
      <c r="G262" s="175" t="s">
        <v>761</v>
      </c>
      <c r="H262" s="175" t="s">
        <v>752</v>
      </c>
      <c r="I262" s="176">
        <f>696031 - 220745</f>
        <v>475286</v>
      </c>
      <c r="J262" s="177" t="s">
        <v>60</v>
      </c>
      <c r="K262" s="177" t="s">
        <v>48</v>
      </c>
      <c r="L262" s="178" t="s">
        <v>753</v>
      </c>
      <c r="M262" s="143">
        <v>43232000</v>
      </c>
      <c r="N262" s="237"/>
      <c r="O262" s="146">
        <v>1</v>
      </c>
      <c r="P262" s="146">
        <v>1</v>
      </c>
      <c r="Q262" s="147">
        <v>11</v>
      </c>
      <c r="R262" s="148" t="s">
        <v>51</v>
      </c>
      <c r="S262" s="149" t="s">
        <v>762</v>
      </c>
      <c r="T262" s="150" t="s">
        <v>53</v>
      </c>
      <c r="U262" s="151">
        <f t="shared" si="22"/>
        <v>475286</v>
      </c>
      <c r="V262" s="152">
        <f t="shared" si="23"/>
        <v>475286</v>
      </c>
      <c r="W262" s="153" t="s">
        <v>54</v>
      </c>
      <c r="X262" s="153" t="s">
        <v>55</v>
      </c>
      <c r="Y262" s="154" t="s">
        <v>56</v>
      </c>
      <c r="Z262" s="155" t="s">
        <v>57</v>
      </c>
      <c r="AA262" s="156" t="s">
        <v>42</v>
      </c>
      <c r="AB262" s="157" t="s">
        <v>58</v>
      </c>
      <c r="AC262" s="158" t="s">
        <v>59</v>
      </c>
      <c r="AD262" s="153" t="s">
        <v>54</v>
      </c>
      <c r="AE262" s="153" t="s">
        <v>60</v>
      </c>
      <c r="AF262" s="159" t="s">
        <v>61</v>
      </c>
      <c r="AG262" s="159" t="s">
        <v>62</v>
      </c>
      <c r="AH262" s="159" t="s">
        <v>63</v>
      </c>
      <c r="AI262" s="159" t="s">
        <v>64</v>
      </c>
      <c r="AJ262" s="159" t="s">
        <v>64</v>
      </c>
      <c r="AK262" s="197" t="s">
        <v>64</v>
      </c>
      <c r="AL262" s="42"/>
      <c r="AM262" s="42"/>
      <c r="AN262" s="42"/>
      <c r="AO262" s="42"/>
    </row>
    <row r="263" spans="1:41" s="30" customFormat="1" ht="84.75" customHeight="1" thickBot="1" x14ac:dyDescent="0.25">
      <c r="A263" s="1"/>
      <c r="B263" s="196" t="s">
        <v>42</v>
      </c>
      <c r="C263" s="143">
        <v>1480</v>
      </c>
      <c r="D263" s="143" t="s">
        <v>136</v>
      </c>
      <c r="E263" s="143" t="s">
        <v>132</v>
      </c>
      <c r="F263" s="175" t="s">
        <v>128</v>
      </c>
      <c r="G263" s="175" t="s">
        <v>129</v>
      </c>
      <c r="H263" s="175" t="s">
        <v>763</v>
      </c>
      <c r="I263" s="176">
        <f>874200-17400</f>
        <v>856800</v>
      </c>
      <c r="J263" s="177" t="s">
        <v>60</v>
      </c>
      <c r="K263" s="177" t="s">
        <v>48</v>
      </c>
      <c r="L263" s="178" t="s">
        <v>764</v>
      </c>
      <c r="M263" s="143" t="s">
        <v>765</v>
      </c>
      <c r="N263" s="160" t="str">
        <f>H263</f>
        <v>Adquirir elementos para la  SBU de la Universidad Pedagógica Nacional.</v>
      </c>
      <c r="O263" s="146">
        <v>1</v>
      </c>
      <c r="P263" s="146">
        <v>1</v>
      </c>
      <c r="Q263" s="147">
        <v>11</v>
      </c>
      <c r="R263" s="148" t="s">
        <v>51</v>
      </c>
      <c r="S263" s="149" t="s">
        <v>766</v>
      </c>
      <c r="T263" s="150" t="s">
        <v>53</v>
      </c>
      <c r="U263" s="151">
        <f t="shared" si="22"/>
        <v>856800</v>
      </c>
      <c r="V263" s="152">
        <f t="shared" si="23"/>
        <v>856800</v>
      </c>
      <c r="W263" s="153" t="s">
        <v>54</v>
      </c>
      <c r="X263" s="153" t="s">
        <v>55</v>
      </c>
      <c r="Y263" s="154" t="s">
        <v>56</v>
      </c>
      <c r="Z263" s="155" t="s">
        <v>57</v>
      </c>
      <c r="AA263" s="156" t="s">
        <v>42</v>
      </c>
      <c r="AB263" s="157" t="s">
        <v>58</v>
      </c>
      <c r="AC263" s="158" t="s">
        <v>59</v>
      </c>
      <c r="AD263" s="153" t="s">
        <v>54</v>
      </c>
      <c r="AE263" s="153" t="s">
        <v>60</v>
      </c>
      <c r="AF263" s="159" t="s">
        <v>61</v>
      </c>
      <c r="AG263" s="159" t="s">
        <v>62</v>
      </c>
      <c r="AH263" s="159" t="s">
        <v>63</v>
      </c>
      <c r="AI263" s="159" t="s">
        <v>64</v>
      </c>
      <c r="AJ263" s="159" t="s">
        <v>64</v>
      </c>
      <c r="AK263" s="197" t="s">
        <v>64</v>
      </c>
      <c r="AL263" s="42"/>
      <c r="AM263" s="42"/>
      <c r="AN263" s="42"/>
      <c r="AO263" s="42"/>
    </row>
    <row r="264" spans="1:41" s="30" customFormat="1" ht="84.75" customHeight="1" thickBot="1" x14ac:dyDescent="0.25">
      <c r="A264" s="1"/>
      <c r="B264" s="196" t="s">
        <v>42</v>
      </c>
      <c r="C264" s="143">
        <v>1480</v>
      </c>
      <c r="D264" s="143" t="s">
        <v>136</v>
      </c>
      <c r="E264" s="143" t="s">
        <v>132</v>
      </c>
      <c r="F264" s="175" t="s">
        <v>114</v>
      </c>
      <c r="G264" s="175" t="s">
        <v>115</v>
      </c>
      <c r="H264" s="175" t="s">
        <v>763</v>
      </c>
      <c r="I264" s="176">
        <f>904700-904700</f>
        <v>0</v>
      </c>
      <c r="J264" s="177" t="s">
        <v>48</v>
      </c>
      <c r="K264" s="177" t="s">
        <v>54</v>
      </c>
      <c r="L264" s="178" t="s">
        <v>764</v>
      </c>
      <c r="M264" s="143" t="s">
        <v>765</v>
      </c>
      <c r="N264" s="160"/>
      <c r="O264" s="146">
        <v>1</v>
      </c>
      <c r="P264" s="146">
        <v>1</v>
      </c>
      <c r="Q264" s="147">
        <v>11</v>
      </c>
      <c r="R264" s="148" t="s">
        <v>51</v>
      </c>
      <c r="S264" s="149" t="s">
        <v>767</v>
      </c>
      <c r="T264" s="150" t="s">
        <v>53</v>
      </c>
      <c r="U264" s="151">
        <f t="shared" si="22"/>
        <v>0</v>
      </c>
      <c r="V264" s="152">
        <f t="shared" si="23"/>
        <v>0</v>
      </c>
      <c r="W264" s="153" t="s">
        <v>54</v>
      </c>
      <c r="X264" s="153" t="s">
        <v>55</v>
      </c>
      <c r="Y264" s="154" t="s">
        <v>56</v>
      </c>
      <c r="Z264" s="155" t="s">
        <v>57</v>
      </c>
      <c r="AA264" s="156" t="s">
        <v>42</v>
      </c>
      <c r="AB264" s="157" t="s">
        <v>58</v>
      </c>
      <c r="AC264" s="158" t="s">
        <v>59</v>
      </c>
      <c r="AD264" s="153" t="s">
        <v>54</v>
      </c>
      <c r="AE264" s="153" t="s">
        <v>60</v>
      </c>
      <c r="AF264" s="159" t="s">
        <v>61</v>
      </c>
      <c r="AG264" s="159" t="s">
        <v>62</v>
      </c>
      <c r="AH264" s="159" t="s">
        <v>63</v>
      </c>
      <c r="AI264" s="159" t="s">
        <v>64</v>
      </c>
      <c r="AJ264" s="159" t="s">
        <v>64</v>
      </c>
      <c r="AK264" s="197" t="s">
        <v>64</v>
      </c>
      <c r="AL264" s="42"/>
      <c r="AM264" s="42"/>
      <c r="AN264" s="42"/>
      <c r="AO264" s="42"/>
    </row>
    <row r="265" spans="1:41" s="30" customFormat="1" ht="84.75" customHeight="1" thickBot="1" x14ac:dyDescent="0.25">
      <c r="A265" s="1"/>
      <c r="B265" s="196" t="s">
        <v>42</v>
      </c>
      <c r="C265" s="143">
        <v>1480</v>
      </c>
      <c r="D265" s="143" t="s">
        <v>136</v>
      </c>
      <c r="E265" s="143" t="s">
        <v>132</v>
      </c>
      <c r="F265" s="175" t="s">
        <v>111</v>
      </c>
      <c r="G265" s="175" t="s">
        <v>112</v>
      </c>
      <c r="H265" s="175" t="s">
        <v>763</v>
      </c>
      <c r="I265" s="176">
        <f>5409700-(1420000+3111100+878600)</f>
        <v>0</v>
      </c>
      <c r="J265" s="177" t="s">
        <v>60</v>
      </c>
      <c r="K265" s="177" t="s">
        <v>48</v>
      </c>
      <c r="L265" s="178" t="s">
        <v>764</v>
      </c>
      <c r="M265" s="143" t="s">
        <v>765</v>
      </c>
      <c r="N265" s="160"/>
      <c r="O265" s="146">
        <v>1</v>
      </c>
      <c r="P265" s="146">
        <v>1</v>
      </c>
      <c r="Q265" s="147">
        <v>11</v>
      </c>
      <c r="R265" s="148" t="s">
        <v>51</v>
      </c>
      <c r="S265" s="149" t="s">
        <v>768</v>
      </c>
      <c r="T265" s="150" t="s">
        <v>53</v>
      </c>
      <c r="U265" s="151">
        <f t="shared" si="22"/>
        <v>0</v>
      </c>
      <c r="V265" s="152">
        <f t="shared" si="23"/>
        <v>0</v>
      </c>
      <c r="W265" s="153" t="s">
        <v>54</v>
      </c>
      <c r="X265" s="153" t="s">
        <v>55</v>
      </c>
      <c r="Y265" s="154" t="s">
        <v>56</v>
      </c>
      <c r="Z265" s="155" t="s">
        <v>57</v>
      </c>
      <c r="AA265" s="156" t="s">
        <v>42</v>
      </c>
      <c r="AB265" s="157" t="s">
        <v>58</v>
      </c>
      <c r="AC265" s="158" t="s">
        <v>59</v>
      </c>
      <c r="AD265" s="153" t="s">
        <v>54</v>
      </c>
      <c r="AE265" s="153" t="s">
        <v>60</v>
      </c>
      <c r="AF265" s="159" t="s">
        <v>61</v>
      </c>
      <c r="AG265" s="159" t="s">
        <v>62</v>
      </c>
      <c r="AH265" s="159" t="s">
        <v>63</v>
      </c>
      <c r="AI265" s="159" t="s">
        <v>64</v>
      </c>
      <c r="AJ265" s="159" t="s">
        <v>64</v>
      </c>
      <c r="AK265" s="197" t="s">
        <v>64</v>
      </c>
      <c r="AL265" s="42"/>
      <c r="AM265" s="42"/>
      <c r="AN265" s="42"/>
      <c r="AO265" s="42"/>
    </row>
    <row r="266" spans="1:41" ht="84.75" customHeight="1" thickBot="1" x14ac:dyDescent="0.25">
      <c r="A266" s="1"/>
      <c r="B266" s="196" t="s">
        <v>42</v>
      </c>
      <c r="C266" s="143">
        <v>1480</v>
      </c>
      <c r="D266" s="143" t="s">
        <v>136</v>
      </c>
      <c r="E266" s="143" t="s">
        <v>132</v>
      </c>
      <c r="F266" s="175" t="s">
        <v>126</v>
      </c>
      <c r="G266" s="175" t="s">
        <v>127</v>
      </c>
      <c r="H266" s="175" t="s">
        <v>769</v>
      </c>
      <c r="I266" s="176">
        <v>100000000</v>
      </c>
      <c r="J266" s="177" t="s">
        <v>60</v>
      </c>
      <c r="K266" s="177" t="s">
        <v>48</v>
      </c>
      <c r="L266" s="178" t="s">
        <v>770</v>
      </c>
      <c r="M266" s="143">
        <v>90151800</v>
      </c>
      <c r="N266" s="145" t="str">
        <f>H266</f>
        <v>Prestar los servicios logísticos para las diferentes actividades lúdico-deportivas, programadas desde la Subdirección de Bienestar Universitario.</v>
      </c>
      <c r="O266" s="146">
        <v>1</v>
      </c>
      <c r="P266" s="146">
        <v>1</v>
      </c>
      <c r="Q266" s="147">
        <v>11</v>
      </c>
      <c r="R266" s="148" t="s">
        <v>51</v>
      </c>
      <c r="S266" s="149" t="s">
        <v>771</v>
      </c>
      <c r="T266" s="150" t="s">
        <v>53</v>
      </c>
      <c r="U266" s="151">
        <f t="shared" si="22"/>
        <v>100000000</v>
      </c>
      <c r="V266" s="152">
        <f t="shared" si="23"/>
        <v>100000000</v>
      </c>
      <c r="W266" s="153" t="s">
        <v>54</v>
      </c>
      <c r="X266" s="153" t="s">
        <v>55</v>
      </c>
      <c r="Y266" s="154" t="s">
        <v>56</v>
      </c>
      <c r="Z266" s="155" t="s">
        <v>57</v>
      </c>
      <c r="AA266" s="156" t="s">
        <v>42</v>
      </c>
      <c r="AB266" s="157" t="s">
        <v>58</v>
      </c>
      <c r="AC266" s="158" t="s">
        <v>59</v>
      </c>
      <c r="AD266" s="153" t="s">
        <v>54</v>
      </c>
      <c r="AE266" s="153" t="s">
        <v>60</v>
      </c>
      <c r="AF266" s="159" t="s">
        <v>61</v>
      </c>
      <c r="AG266" s="159" t="s">
        <v>62</v>
      </c>
      <c r="AH266" s="159" t="s">
        <v>63</v>
      </c>
      <c r="AI266" s="159" t="s">
        <v>64</v>
      </c>
      <c r="AJ266" s="159" t="s">
        <v>64</v>
      </c>
      <c r="AK266" s="197" t="s">
        <v>64</v>
      </c>
    </row>
    <row r="267" spans="1:41" ht="84.75" customHeight="1" thickBot="1" x14ac:dyDescent="0.25">
      <c r="A267" s="1"/>
      <c r="B267" s="196" t="s">
        <v>42</v>
      </c>
      <c r="C267" s="143">
        <v>1510</v>
      </c>
      <c r="D267" s="143" t="s">
        <v>203</v>
      </c>
      <c r="E267" s="143" t="s">
        <v>204</v>
      </c>
      <c r="F267" s="175" t="s">
        <v>126</v>
      </c>
      <c r="G267" s="175" t="s">
        <v>127</v>
      </c>
      <c r="H267" s="175" t="s">
        <v>772</v>
      </c>
      <c r="I267" s="176">
        <f>3240000+1462500+27000000+85964000</f>
        <v>117666500</v>
      </c>
      <c r="J267" s="177" t="s">
        <v>60</v>
      </c>
      <c r="K267" s="177" t="s">
        <v>48</v>
      </c>
      <c r="L267" s="178" t="s">
        <v>773</v>
      </c>
      <c r="M267" s="143">
        <v>85151500</v>
      </c>
      <c r="N267" s="161" t="str">
        <f>H267</f>
        <v>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v>
      </c>
      <c r="O267" s="153">
        <v>6</v>
      </c>
      <c r="P267" s="146">
        <v>7</v>
      </c>
      <c r="Q267" s="147">
        <v>5</v>
      </c>
      <c r="R267" s="148" t="s">
        <v>51</v>
      </c>
      <c r="S267" s="149" t="s">
        <v>774</v>
      </c>
      <c r="T267" s="150" t="s">
        <v>53</v>
      </c>
      <c r="U267" s="151">
        <f t="shared" si="22"/>
        <v>117666500</v>
      </c>
      <c r="V267" s="152">
        <f t="shared" si="23"/>
        <v>117666500</v>
      </c>
      <c r="W267" s="153" t="s">
        <v>54</v>
      </c>
      <c r="X267" s="153" t="s">
        <v>55</v>
      </c>
      <c r="Y267" s="154" t="s">
        <v>56</v>
      </c>
      <c r="Z267" s="155" t="s">
        <v>57</v>
      </c>
      <c r="AA267" s="156" t="s">
        <v>42</v>
      </c>
      <c r="AB267" s="157" t="s">
        <v>58</v>
      </c>
      <c r="AC267" s="158" t="s">
        <v>59</v>
      </c>
      <c r="AD267" s="153" t="s">
        <v>54</v>
      </c>
      <c r="AE267" s="153" t="s">
        <v>60</v>
      </c>
      <c r="AF267" s="159" t="s">
        <v>61</v>
      </c>
      <c r="AG267" s="159" t="s">
        <v>62</v>
      </c>
      <c r="AH267" s="159" t="s">
        <v>63</v>
      </c>
      <c r="AI267" s="159" t="s">
        <v>64</v>
      </c>
      <c r="AJ267" s="159" t="s">
        <v>64</v>
      </c>
      <c r="AK267" s="197" t="s">
        <v>64</v>
      </c>
    </row>
    <row r="268" spans="1:41" ht="84.75" customHeight="1" thickBot="1" x14ac:dyDescent="0.25">
      <c r="A268" s="1"/>
      <c r="B268" s="196" t="s">
        <v>42</v>
      </c>
      <c r="C268" s="143">
        <v>1510</v>
      </c>
      <c r="D268" s="143" t="s">
        <v>203</v>
      </c>
      <c r="E268" s="143" t="s">
        <v>204</v>
      </c>
      <c r="F268" s="175" t="s">
        <v>126</v>
      </c>
      <c r="G268" s="175" t="s">
        <v>127</v>
      </c>
      <c r="H268" s="175" t="s">
        <v>775</v>
      </c>
      <c r="I268" s="176">
        <v>0</v>
      </c>
      <c r="J268" s="177" t="s">
        <v>48</v>
      </c>
      <c r="K268" s="177" t="s">
        <v>48</v>
      </c>
      <c r="L268" s="178" t="s">
        <v>776</v>
      </c>
      <c r="M268" s="143">
        <v>85111500</v>
      </c>
      <c r="N268" s="143" t="s">
        <v>775</v>
      </c>
      <c r="O268" s="146">
        <v>1</v>
      </c>
      <c r="P268" s="146">
        <v>1</v>
      </c>
      <c r="Q268" s="147">
        <v>11</v>
      </c>
      <c r="R268" s="148" t="s">
        <v>51</v>
      </c>
      <c r="S268" s="149" t="s">
        <v>777</v>
      </c>
      <c r="T268" s="150" t="s">
        <v>53</v>
      </c>
      <c r="U268" s="151">
        <f t="shared" si="22"/>
        <v>0</v>
      </c>
      <c r="V268" s="152">
        <f t="shared" si="23"/>
        <v>0</v>
      </c>
      <c r="W268" s="153" t="s">
        <v>54</v>
      </c>
      <c r="X268" s="153" t="s">
        <v>55</v>
      </c>
      <c r="Y268" s="154" t="s">
        <v>56</v>
      </c>
      <c r="Z268" s="155" t="s">
        <v>57</v>
      </c>
      <c r="AA268" s="156" t="s">
        <v>42</v>
      </c>
      <c r="AB268" s="157" t="s">
        <v>58</v>
      </c>
      <c r="AC268" s="158" t="s">
        <v>59</v>
      </c>
      <c r="AD268" s="153" t="s">
        <v>54</v>
      </c>
      <c r="AE268" s="153" t="s">
        <v>60</v>
      </c>
      <c r="AF268" s="159" t="s">
        <v>61</v>
      </c>
      <c r="AG268" s="159" t="s">
        <v>62</v>
      </c>
      <c r="AH268" s="159" t="s">
        <v>63</v>
      </c>
      <c r="AI268" s="159" t="s">
        <v>64</v>
      </c>
      <c r="AJ268" s="159" t="s">
        <v>64</v>
      </c>
      <c r="AK268" s="197" t="s">
        <v>64</v>
      </c>
    </row>
    <row r="269" spans="1:41" ht="84.75" customHeight="1" thickBot="1" x14ac:dyDescent="0.25">
      <c r="A269" s="1"/>
      <c r="B269" s="196" t="s">
        <v>42</v>
      </c>
      <c r="C269" s="143">
        <v>1510</v>
      </c>
      <c r="D269" s="143" t="s">
        <v>203</v>
      </c>
      <c r="E269" s="143" t="s">
        <v>204</v>
      </c>
      <c r="F269" s="175" t="s">
        <v>123</v>
      </c>
      <c r="G269" s="175" t="s">
        <v>124</v>
      </c>
      <c r="H269" s="175" t="s">
        <v>778</v>
      </c>
      <c r="I269" s="176">
        <f>2844100-2844100</f>
        <v>0</v>
      </c>
      <c r="J269" s="177" t="s">
        <v>48</v>
      </c>
      <c r="K269" s="177" t="s">
        <v>48</v>
      </c>
      <c r="L269" s="178" t="s">
        <v>779</v>
      </c>
      <c r="M269" s="143">
        <v>93141800</v>
      </c>
      <c r="N269" s="145" t="str">
        <f>H269</f>
        <v>Prestar el servicio de análisis de puesto de trabajo para procesos de calificación de origen de enfermedad cuando sea solicitado por la EPS o ARL</v>
      </c>
      <c r="O269" s="146">
        <v>1</v>
      </c>
      <c r="P269" s="146">
        <v>1</v>
      </c>
      <c r="Q269" s="147">
        <v>11</v>
      </c>
      <c r="R269" s="148" t="s">
        <v>51</v>
      </c>
      <c r="S269" s="149" t="s">
        <v>780</v>
      </c>
      <c r="T269" s="150" t="s">
        <v>53</v>
      </c>
      <c r="U269" s="151">
        <f t="shared" si="22"/>
        <v>0</v>
      </c>
      <c r="V269" s="152">
        <f t="shared" si="23"/>
        <v>0</v>
      </c>
      <c r="W269" s="153" t="s">
        <v>54</v>
      </c>
      <c r="X269" s="153" t="s">
        <v>55</v>
      </c>
      <c r="Y269" s="154" t="s">
        <v>56</v>
      </c>
      <c r="Z269" s="155" t="s">
        <v>57</v>
      </c>
      <c r="AA269" s="156" t="s">
        <v>42</v>
      </c>
      <c r="AB269" s="157" t="s">
        <v>58</v>
      </c>
      <c r="AC269" s="158" t="s">
        <v>59</v>
      </c>
      <c r="AD269" s="153" t="s">
        <v>54</v>
      </c>
      <c r="AE269" s="153" t="s">
        <v>60</v>
      </c>
      <c r="AF269" s="159" t="s">
        <v>61</v>
      </c>
      <c r="AG269" s="159" t="s">
        <v>62</v>
      </c>
      <c r="AH269" s="159" t="s">
        <v>63</v>
      </c>
      <c r="AI269" s="159" t="s">
        <v>64</v>
      </c>
      <c r="AJ269" s="159" t="s">
        <v>64</v>
      </c>
      <c r="AK269" s="197" t="s">
        <v>64</v>
      </c>
    </row>
    <row r="270" spans="1:41" ht="84.75" customHeight="1" thickBot="1" x14ac:dyDescent="0.25">
      <c r="A270" s="1"/>
      <c r="B270" s="196" t="s">
        <v>42</v>
      </c>
      <c r="C270" s="143">
        <v>1510</v>
      </c>
      <c r="D270" s="143" t="s">
        <v>203</v>
      </c>
      <c r="E270" s="143" t="s">
        <v>204</v>
      </c>
      <c r="F270" s="175" t="s">
        <v>126</v>
      </c>
      <c r="G270" s="175" t="s">
        <v>127</v>
      </c>
      <c r="H270" s="175" t="s">
        <v>781</v>
      </c>
      <c r="I270" s="176">
        <f>25088000-15396516-9691484</f>
        <v>0</v>
      </c>
      <c r="J270" s="177" t="s">
        <v>48</v>
      </c>
      <c r="K270" s="177" t="s">
        <v>48</v>
      </c>
      <c r="L270" s="178" t="s">
        <v>782</v>
      </c>
      <c r="M270" s="143">
        <v>77101501</v>
      </c>
      <c r="N270" s="145" t="str">
        <f>H270</f>
        <v>Amparar la contratación de la aplicación de batería de riesgo psicosocial a los funcionarios, trabajadores oficiales, docentes y supernumerarios de la Universidad, dando cumplimiento a la política institucional de SST , al programa de prevención de riesgo psicosocial, a la Resolución 2646 de 2008 y Resolución 2764 de 2022 "por la cual se establecen disposiciones y se definen responsabilidades para la identificación, evaluación e intervención  de los factores psicosociales y sus efectos en la población trabajadora y se dictan otras disposiciones”</v>
      </c>
      <c r="O270" s="146">
        <v>1</v>
      </c>
      <c r="P270" s="146">
        <v>1</v>
      </c>
      <c r="Q270" s="147">
        <v>11</v>
      </c>
      <c r="R270" s="148" t="s">
        <v>51</v>
      </c>
      <c r="S270" s="149" t="s">
        <v>783</v>
      </c>
      <c r="T270" s="150" t="s">
        <v>53</v>
      </c>
      <c r="U270" s="151">
        <f t="shared" si="22"/>
        <v>0</v>
      </c>
      <c r="V270" s="152">
        <f t="shared" si="23"/>
        <v>0</v>
      </c>
      <c r="W270" s="153" t="s">
        <v>54</v>
      </c>
      <c r="X270" s="153" t="s">
        <v>55</v>
      </c>
      <c r="Y270" s="154" t="s">
        <v>56</v>
      </c>
      <c r="Z270" s="155" t="s">
        <v>57</v>
      </c>
      <c r="AA270" s="156" t="s">
        <v>42</v>
      </c>
      <c r="AB270" s="157" t="s">
        <v>58</v>
      </c>
      <c r="AC270" s="158" t="s">
        <v>59</v>
      </c>
      <c r="AD270" s="153" t="s">
        <v>54</v>
      </c>
      <c r="AE270" s="153" t="s">
        <v>60</v>
      </c>
      <c r="AF270" s="159" t="s">
        <v>61</v>
      </c>
      <c r="AG270" s="159" t="s">
        <v>62</v>
      </c>
      <c r="AH270" s="159" t="s">
        <v>63</v>
      </c>
      <c r="AI270" s="159" t="s">
        <v>64</v>
      </c>
      <c r="AJ270" s="159" t="s">
        <v>64</v>
      </c>
      <c r="AK270" s="197" t="s">
        <v>64</v>
      </c>
    </row>
    <row r="271" spans="1:41" ht="84.75" customHeight="1" thickBot="1" x14ac:dyDescent="0.25">
      <c r="A271" s="1"/>
      <c r="B271" s="196" t="s">
        <v>293</v>
      </c>
      <c r="C271" s="143">
        <v>1630</v>
      </c>
      <c r="D271" s="143" t="s">
        <v>784</v>
      </c>
      <c r="E271" s="143" t="s">
        <v>785</v>
      </c>
      <c r="F271" s="175" t="s">
        <v>786</v>
      </c>
      <c r="G271" s="175" t="s">
        <v>112</v>
      </c>
      <c r="H271" s="175" t="s">
        <v>787</v>
      </c>
      <c r="I271" s="176">
        <v>2832267</v>
      </c>
      <c r="J271" s="177" t="s">
        <v>60</v>
      </c>
      <c r="K271" s="177" t="s">
        <v>54</v>
      </c>
      <c r="L271" s="178" t="s">
        <v>788</v>
      </c>
      <c r="M271" s="143" t="s">
        <v>789</v>
      </c>
      <c r="N271" s="162" t="str">
        <f>H271</f>
        <v>Adquirir elementos de papelería y oficina para el desarrollo de las actividades administrativas y académicas del Centro de Lenguas.</v>
      </c>
      <c r="O271" s="153">
        <v>7</v>
      </c>
      <c r="P271" s="146">
        <v>8</v>
      </c>
      <c r="Q271" s="147">
        <v>4</v>
      </c>
      <c r="R271" s="148" t="s">
        <v>51</v>
      </c>
      <c r="S271" s="149" t="s">
        <v>790</v>
      </c>
      <c r="T271" s="150" t="s">
        <v>53</v>
      </c>
      <c r="U271" s="151">
        <f t="shared" si="22"/>
        <v>2832267</v>
      </c>
      <c r="V271" s="152">
        <f t="shared" si="23"/>
        <v>2832267</v>
      </c>
      <c r="W271" s="153" t="s">
        <v>54</v>
      </c>
      <c r="X271" s="153" t="s">
        <v>55</v>
      </c>
      <c r="Y271" s="154" t="s">
        <v>56</v>
      </c>
      <c r="Z271" s="155" t="s">
        <v>57</v>
      </c>
      <c r="AA271" s="156" t="s">
        <v>42</v>
      </c>
      <c r="AB271" s="157" t="s">
        <v>58</v>
      </c>
      <c r="AC271" s="158" t="s">
        <v>59</v>
      </c>
      <c r="AD271" s="153" t="s">
        <v>54</v>
      </c>
      <c r="AE271" s="153" t="s">
        <v>60</v>
      </c>
      <c r="AF271" s="159" t="s">
        <v>61</v>
      </c>
      <c r="AG271" s="159" t="s">
        <v>62</v>
      </c>
      <c r="AH271" s="159" t="s">
        <v>63</v>
      </c>
      <c r="AI271" s="159" t="s">
        <v>64</v>
      </c>
      <c r="AJ271" s="159" t="s">
        <v>64</v>
      </c>
      <c r="AK271" s="197" t="s">
        <v>64</v>
      </c>
    </row>
    <row r="272" spans="1:41" ht="84.75" customHeight="1" thickBot="1" x14ac:dyDescent="0.25">
      <c r="A272" s="1"/>
      <c r="B272" s="196" t="s">
        <v>293</v>
      </c>
      <c r="C272" s="143">
        <v>1630</v>
      </c>
      <c r="D272" s="143" t="s">
        <v>784</v>
      </c>
      <c r="E272" s="143" t="s">
        <v>785</v>
      </c>
      <c r="F272" s="175" t="s">
        <v>791</v>
      </c>
      <c r="G272" s="175" t="s">
        <v>792</v>
      </c>
      <c r="H272" s="175" t="s">
        <v>787</v>
      </c>
      <c r="I272" s="176">
        <v>649845</v>
      </c>
      <c r="J272" s="177" t="s">
        <v>60</v>
      </c>
      <c r="K272" s="177" t="s">
        <v>54</v>
      </c>
      <c r="L272" s="178" t="s">
        <v>788</v>
      </c>
      <c r="M272" s="143" t="s">
        <v>793</v>
      </c>
      <c r="N272" s="160"/>
      <c r="O272" s="153">
        <v>7</v>
      </c>
      <c r="P272" s="146">
        <v>8</v>
      </c>
      <c r="Q272" s="147">
        <v>4</v>
      </c>
      <c r="R272" s="148" t="s">
        <v>51</v>
      </c>
      <c r="S272" s="149" t="s">
        <v>790</v>
      </c>
      <c r="T272" s="150" t="s">
        <v>53</v>
      </c>
      <c r="U272" s="151">
        <f t="shared" si="22"/>
        <v>649845</v>
      </c>
      <c r="V272" s="152">
        <f t="shared" si="23"/>
        <v>649845</v>
      </c>
      <c r="W272" s="153" t="s">
        <v>54</v>
      </c>
      <c r="X272" s="153" t="s">
        <v>55</v>
      </c>
      <c r="Y272" s="154" t="s">
        <v>56</v>
      </c>
      <c r="Z272" s="155" t="s">
        <v>57</v>
      </c>
      <c r="AA272" s="156" t="s">
        <v>42</v>
      </c>
      <c r="AB272" s="157" t="s">
        <v>58</v>
      </c>
      <c r="AC272" s="158" t="s">
        <v>59</v>
      </c>
      <c r="AD272" s="153" t="s">
        <v>54</v>
      </c>
      <c r="AE272" s="153" t="s">
        <v>60</v>
      </c>
      <c r="AF272" s="159" t="s">
        <v>61</v>
      </c>
      <c r="AG272" s="159" t="s">
        <v>62</v>
      </c>
      <c r="AH272" s="159" t="s">
        <v>63</v>
      </c>
      <c r="AI272" s="159" t="s">
        <v>64</v>
      </c>
      <c r="AJ272" s="159" t="s">
        <v>64</v>
      </c>
      <c r="AK272" s="197" t="s">
        <v>64</v>
      </c>
    </row>
    <row r="273" spans="1:41" ht="84.75" customHeight="1" thickBot="1" x14ac:dyDescent="0.25">
      <c r="A273" s="1"/>
      <c r="B273" s="196" t="s">
        <v>293</v>
      </c>
      <c r="C273" s="143">
        <v>1630</v>
      </c>
      <c r="D273" s="143" t="s">
        <v>784</v>
      </c>
      <c r="E273" s="143" t="s">
        <v>785</v>
      </c>
      <c r="F273" s="175" t="s">
        <v>794</v>
      </c>
      <c r="G273" s="175" t="s">
        <v>795</v>
      </c>
      <c r="H273" s="175" t="s">
        <v>787</v>
      </c>
      <c r="I273" s="176">
        <v>617217</v>
      </c>
      <c r="J273" s="177" t="s">
        <v>60</v>
      </c>
      <c r="K273" s="177" t="s">
        <v>54</v>
      </c>
      <c r="L273" s="178" t="s">
        <v>788</v>
      </c>
      <c r="M273" s="143">
        <v>53121706</v>
      </c>
      <c r="N273" s="160"/>
      <c r="O273" s="153">
        <v>7</v>
      </c>
      <c r="P273" s="146">
        <v>8</v>
      </c>
      <c r="Q273" s="147">
        <v>4</v>
      </c>
      <c r="R273" s="148" t="s">
        <v>51</v>
      </c>
      <c r="S273" s="149" t="s">
        <v>790</v>
      </c>
      <c r="T273" s="150" t="s">
        <v>53</v>
      </c>
      <c r="U273" s="151">
        <f t="shared" si="22"/>
        <v>617217</v>
      </c>
      <c r="V273" s="152">
        <f t="shared" si="23"/>
        <v>617217</v>
      </c>
      <c r="W273" s="153" t="s">
        <v>54</v>
      </c>
      <c r="X273" s="153" t="s">
        <v>55</v>
      </c>
      <c r="Y273" s="154" t="s">
        <v>56</v>
      </c>
      <c r="Z273" s="155" t="s">
        <v>57</v>
      </c>
      <c r="AA273" s="156" t="s">
        <v>42</v>
      </c>
      <c r="AB273" s="157" t="s">
        <v>58</v>
      </c>
      <c r="AC273" s="158" t="s">
        <v>59</v>
      </c>
      <c r="AD273" s="153" t="s">
        <v>54</v>
      </c>
      <c r="AE273" s="153" t="s">
        <v>60</v>
      </c>
      <c r="AF273" s="159" t="s">
        <v>61</v>
      </c>
      <c r="AG273" s="159" t="s">
        <v>62</v>
      </c>
      <c r="AH273" s="159" t="s">
        <v>63</v>
      </c>
      <c r="AI273" s="159" t="s">
        <v>64</v>
      </c>
      <c r="AJ273" s="159" t="s">
        <v>64</v>
      </c>
      <c r="AK273" s="197" t="s">
        <v>64</v>
      </c>
    </row>
    <row r="274" spans="1:41" ht="84.75" customHeight="1" thickBot="1" x14ac:dyDescent="0.25">
      <c r="A274" s="1"/>
      <c r="B274" s="196" t="s">
        <v>293</v>
      </c>
      <c r="C274" s="143">
        <v>1630</v>
      </c>
      <c r="D274" s="143" t="s">
        <v>784</v>
      </c>
      <c r="E274" s="143" t="s">
        <v>785</v>
      </c>
      <c r="F274" s="175" t="s">
        <v>786</v>
      </c>
      <c r="G274" s="175" t="s">
        <v>112</v>
      </c>
      <c r="H274" s="175" t="s">
        <v>796</v>
      </c>
      <c r="I274" s="176">
        <v>6576416</v>
      </c>
      <c r="J274" s="177" t="s">
        <v>60</v>
      </c>
      <c r="K274" s="177" t="s">
        <v>48</v>
      </c>
      <c r="L274" s="178" t="s">
        <v>797</v>
      </c>
      <c r="M274" s="143" t="s">
        <v>798</v>
      </c>
      <c r="N274" s="145" t="str">
        <f t="shared" ref="N274:N284" si="25">H274</f>
        <v xml:space="preserve"> Suministrar la elaboración e impresión de carnés y adhesivos de  refrendación que se requieran para  cubrir las necesidades del Centro de Lenguas.</v>
      </c>
      <c r="O274" s="146">
        <v>1</v>
      </c>
      <c r="P274" s="146">
        <v>1</v>
      </c>
      <c r="Q274" s="147">
        <v>11</v>
      </c>
      <c r="R274" s="148" t="s">
        <v>51</v>
      </c>
      <c r="S274" s="149" t="s">
        <v>799</v>
      </c>
      <c r="T274" s="150" t="s">
        <v>53</v>
      </c>
      <c r="U274" s="151">
        <f t="shared" si="22"/>
        <v>6576416</v>
      </c>
      <c r="V274" s="152">
        <f t="shared" si="23"/>
        <v>6576416</v>
      </c>
      <c r="W274" s="153" t="s">
        <v>54</v>
      </c>
      <c r="X274" s="153" t="s">
        <v>55</v>
      </c>
      <c r="Y274" s="154" t="s">
        <v>56</v>
      </c>
      <c r="Z274" s="155" t="s">
        <v>57</v>
      </c>
      <c r="AA274" s="156" t="s">
        <v>42</v>
      </c>
      <c r="AB274" s="157" t="s">
        <v>58</v>
      </c>
      <c r="AC274" s="158" t="s">
        <v>59</v>
      </c>
      <c r="AD274" s="153" t="s">
        <v>54</v>
      </c>
      <c r="AE274" s="153" t="s">
        <v>60</v>
      </c>
      <c r="AF274" s="159" t="s">
        <v>61</v>
      </c>
      <c r="AG274" s="159" t="s">
        <v>62</v>
      </c>
      <c r="AH274" s="159" t="s">
        <v>63</v>
      </c>
      <c r="AI274" s="159" t="s">
        <v>64</v>
      </c>
      <c r="AJ274" s="159" t="s">
        <v>64</v>
      </c>
      <c r="AK274" s="197" t="s">
        <v>64</v>
      </c>
    </row>
    <row r="275" spans="1:41" ht="84.75" customHeight="1" thickBot="1" x14ac:dyDescent="0.25">
      <c r="A275" s="1"/>
      <c r="B275" s="196" t="s">
        <v>42</v>
      </c>
      <c r="C275" s="143">
        <v>1630</v>
      </c>
      <c r="D275" s="143" t="s">
        <v>784</v>
      </c>
      <c r="E275" s="143" t="s">
        <v>785</v>
      </c>
      <c r="F275" s="175" t="s">
        <v>786</v>
      </c>
      <c r="G275" s="175" t="s">
        <v>112</v>
      </c>
      <c r="H275" s="175" t="s">
        <v>800</v>
      </c>
      <c r="I275" s="176">
        <v>5000000</v>
      </c>
      <c r="J275" s="177" t="s">
        <v>60</v>
      </c>
      <c r="K275" s="177" t="s">
        <v>48</v>
      </c>
      <c r="L275" s="178" t="s">
        <v>801</v>
      </c>
      <c r="M275" s="143" t="s">
        <v>802</v>
      </c>
      <c r="N275" s="145" t="str">
        <f t="shared" si="25"/>
        <v>Adquirir los insumos necesarios para las adecuaciones y mantenimiento de los espacios físicos del edificio de la Calle 79 del Centro de Lenguas.</v>
      </c>
      <c r="O275" s="146">
        <v>1</v>
      </c>
      <c r="P275" s="146">
        <v>1</v>
      </c>
      <c r="Q275" s="147">
        <v>11</v>
      </c>
      <c r="R275" s="148" t="s">
        <v>51</v>
      </c>
      <c r="S275" s="149" t="s">
        <v>803</v>
      </c>
      <c r="T275" s="150" t="s">
        <v>53</v>
      </c>
      <c r="U275" s="151">
        <f t="shared" si="22"/>
        <v>5000000</v>
      </c>
      <c r="V275" s="152">
        <f t="shared" si="23"/>
        <v>5000000</v>
      </c>
      <c r="W275" s="153" t="s">
        <v>54</v>
      </c>
      <c r="X275" s="153" t="s">
        <v>55</v>
      </c>
      <c r="Y275" s="154" t="s">
        <v>56</v>
      </c>
      <c r="Z275" s="155" t="s">
        <v>57</v>
      </c>
      <c r="AA275" s="156" t="s">
        <v>42</v>
      </c>
      <c r="AB275" s="157" t="s">
        <v>58</v>
      </c>
      <c r="AC275" s="158" t="s">
        <v>59</v>
      </c>
      <c r="AD275" s="153" t="s">
        <v>54</v>
      </c>
      <c r="AE275" s="153" t="s">
        <v>60</v>
      </c>
      <c r="AF275" s="159" t="s">
        <v>61</v>
      </c>
      <c r="AG275" s="159" t="s">
        <v>62</v>
      </c>
      <c r="AH275" s="159" t="s">
        <v>63</v>
      </c>
      <c r="AI275" s="159" t="s">
        <v>64</v>
      </c>
      <c r="AJ275" s="159" t="s">
        <v>64</v>
      </c>
      <c r="AK275" s="197" t="s">
        <v>64</v>
      </c>
    </row>
    <row r="276" spans="1:41" s="8" customFormat="1" ht="84.75" customHeight="1" thickBot="1" x14ac:dyDescent="0.25">
      <c r="A276" s="1"/>
      <c r="B276" s="196" t="s">
        <v>293</v>
      </c>
      <c r="C276" s="143">
        <v>1630</v>
      </c>
      <c r="D276" s="143" t="s">
        <v>784</v>
      </c>
      <c r="E276" s="143" t="s">
        <v>785</v>
      </c>
      <c r="F276" s="175" t="s">
        <v>804</v>
      </c>
      <c r="G276" s="175" t="s">
        <v>805</v>
      </c>
      <c r="H276" s="175" t="s">
        <v>806</v>
      </c>
      <c r="I276" s="176">
        <v>22161386</v>
      </c>
      <c r="J276" s="177" t="s">
        <v>48</v>
      </c>
      <c r="K276" s="177" t="s">
        <v>48</v>
      </c>
      <c r="L276" s="178" t="s">
        <v>266</v>
      </c>
      <c r="M276" s="143" t="s">
        <v>50</v>
      </c>
      <c r="N276" s="145" t="str">
        <f t="shared" si="25"/>
        <v>Pago servicio energía de  las instalaciones del Centro de Lenguas</v>
      </c>
      <c r="O276" s="146">
        <v>1</v>
      </c>
      <c r="P276" s="146">
        <v>1</v>
      </c>
      <c r="Q276" s="147">
        <v>11</v>
      </c>
      <c r="R276" s="148" t="s">
        <v>51</v>
      </c>
      <c r="S276" s="149" t="s">
        <v>807</v>
      </c>
      <c r="T276" s="150" t="s">
        <v>53</v>
      </c>
      <c r="U276" s="151">
        <f t="shared" si="22"/>
        <v>22161386</v>
      </c>
      <c r="V276" s="152">
        <f t="shared" si="23"/>
        <v>22161386</v>
      </c>
      <c r="W276" s="153" t="s">
        <v>54</v>
      </c>
      <c r="X276" s="153" t="s">
        <v>55</v>
      </c>
      <c r="Y276" s="154" t="s">
        <v>56</v>
      </c>
      <c r="Z276" s="155" t="s">
        <v>57</v>
      </c>
      <c r="AA276" s="156" t="s">
        <v>293</v>
      </c>
      <c r="AB276" s="157" t="s">
        <v>58</v>
      </c>
      <c r="AC276" s="158" t="s">
        <v>59</v>
      </c>
      <c r="AD276" s="153" t="s">
        <v>54</v>
      </c>
      <c r="AE276" s="153" t="s">
        <v>60</v>
      </c>
      <c r="AF276" s="159" t="s">
        <v>61</v>
      </c>
      <c r="AG276" s="159" t="s">
        <v>62</v>
      </c>
      <c r="AH276" s="159" t="s">
        <v>63</v>
      </c>
      <c r="AI276" s="159" t="s">
        <v>64</v>
      </c>
      <c r="AJ276" s="159" t="s">
        <v>64</v>
      </c>
      <c r="AK276" s="197" t="s">
        <v>64</v>
      </c>
      <c r="AL276" s="42"/>
      <c r="AM276" s="42"/>
      <c r="AN276" s="42"/>
      <c r="AO276" s="42"/>
    </row>
    <row r="277" spans="1:41" s="8" customFormat="1" ht="84.75" customHeight="1" thickBot="1" x14ac:dyDescent="0.25">
      <c r="A277" s="1"/>
      <c r="B277" s="196" t="s">
        <v>293</v>
      </c>
      <c r="C277" s="143">
        <v>1630</v>
      </c>
      <c r="D277" s="143" t="s">
        <v>784</v>
      </c>
      <c r="E277" s="143" t="s">
        <v>785</v>
      </c>
      <c r="F277" s="175" t="s">
        <v>804</v>
      </c>
      <c r="G277" s="175" t="s">
        <v>805</v>
      </c>
      <c r="H277" s="175" t="s">
        <v>808</v>
      </c>
      <c r="I277" s="176">
        <v>6846000</v>
      </c>
      <c r="J277" s="177" t="s">
        <v>48</v>
      </c>
      <c r="K277" s="177" t="s">
        <v>48</v>
      </c>
      <c r="L277" s="178" t="s">
        <v>266</v>
      </c>
      <c r="M277" s="143" t="s">
        <v>50</v>
      </c>
      <c r="N277" s="145" t="str">
        <f t="shared" si="25"/>
        <v>Pago  servicio de agua  de  las instalaciones del Centro de Lenguas</v>
      </c>
      <c r="O277" s="146">
        <v>1</v>
      </c>
      <c r="P277" s="146">
        <v>1</v>
      </c>
      <c r="Q277" s="147">
        <v>11</v>
      </c>
      <c r="R277" s="148" t="s">
        <v>51</v>
      </c>
      <c r="S277" s="149" t="s">
        <v>809</v>
      </c>
      <c r="T277" s="150" t="s">
        <v>53</v>
      </c>
      <c r="U277" s="151">
        <f t="shared" si="22"/>
        <v>6846000</v>
      </c>
      <c r="V277" s="152">
        <f t="shared" si="23"/>
        <v>6846000</v>
      </c>
      <c r="W277" s="153" t="s">
        <v>54</v>
      </c>
      <c r="X277" s="153" t="s">
        <v>55</v>
      </c>
      <c r="Y277" s="154" t="s">
        <v>56</v>
      </c>
      <c r="Z277" s="155" t="s">
        <v>57</v>
      </c>
      <c r="AA277" s="156" t="s">
        <v>293</v>
      </c>
      <c r="AB277" s="157" t="s">
        <v>58</v>
      </c>
      <c r="AC277" s="158" t="s">
        <v>59</v>
      </c>
      <c r="AD277" s="153" t="s">
        <v>54</v>
      </c>
      <c r="AE277" s="153" t="s">
        <v>60</v>
      </c>
      <c r="AF277" s="159" t="s">
        <v>61</v>
      </c>
      <c r="AG277" s="159" t="s">
        <v>62</v>
      </c>
      <c r="AH277" s="159" t="s">
        <v>63</v>
      </c>
      <c r="AI277" s="159" t="s">
        <v>64</v>
      </c>
      <c r="AJ277" s="159" t="s">
        <v>64</v>
      </c>
      <c r="AK277" s="197" t="s">
        <v>64</v>
      </c>
      <c r="AL277" s="42"/>
      <c r="AM277" s="42"/>
      <c r="AN277" s="42"/>
      <c r="AO277" s="42"/>
    </row>
    <row r="278" spans="1:41" ht="84.75" customHeight="1" thickBot="1" x14ac:dyDescent="0.25">
      <c r="A278" s="1"/>
      <c r="B278" s="196" t="s">
        <v>42</v>
      </c>
      <c r="C278" s="143">
        <v>1630</v>
      </c>
      <c r="D278" s="143" t="s">
        <v>784</v>
      </c>
      <c r="E278" s="143" t="s">
        <v>785</v>
      </c>
      <c r="F278" s="175" t="s">
        <v>810</v>
      </c>
      <c r="G278" s="175" t="s">
        <v>811</v>
      </c>
      <c r="H278" s="175" t="s">
        <v>812</v>
      </c>
      <c r="I278" s="176">
        <v>1804486959</v>
      </c>
      <c r="J278" s="177" t="s">
        <v>48</v>
      </c>
      <c r="K278" s="177" t="s">
        <v>48</v>
      </c>
      <c r="L278" s="178" t="s">
        <v>510</v>
      </c>
      <c r="M278" s="143" t="s">
        <v>50</v>
      </c>
      <c r="N278" s="145" t="str">
        <f t="shared" si="25"/>
        <v>Amparar el canon de arrendamiento del Contrato No.  363 de 2005 - 
Edificio Centro de Lenguas - ubicado en la calle 79 No. 16-32 de la ciudad de Bogotá D.C., Según  Acuerdo 026 del 24 de octubre  de 2023, del Consejo Superior - Vigencia futura 2024..</v>
      </c>
      <c r="O278" s="146">
        <v>1</v>
      </c>
      <c r="P278" s="146">
        <v>1</v>
      </c>
      <c r="Q278" s="147">
        <v>11</v>
      </c>
      <c r="R278" s="148" t="s">
        <v>51</v>
      </c>
      <c r="S278" s="149" t="s">
        <v>813</v>
      </c>
      <c r="T278" s="150" t="s">
        <v>53</v>
      </c>
      <c r="U278" s="151">
        <f t="shared" si="22"/>
        <v>1804486959</v>
      </c>
      <c r="V278" s="152">
        <f t="shared" si="23"/>
        <v>1804486959</v>
      </c>
      <c r="W278" s="153" t="s">
        <v>54</v>
      </c>
      <c r="X278" s="153" t="s">
        <v>55</v>
      </c>
      <c r="Y278" s="154" t="s">
        <v>56</v>
      </c>
      <c r="Z278" s="155" t="s">
        <v>57</v>
      </c>
      <c r="AA278" s="156" t="s">
        <v>293</v>
      </c>
      <c r="AB278" s="157" t="s">
        <v>58</v>
      </c>
      <c r="AC278" s="158" t="s">
        <v>59</v>
      </c>
      <c r="AD278" s="153" t="s">
        <v>54</v>
      </c>
      <c r="AE278" s="153" t="s">
        <v>60</v>
      </c>
      <c r="AF278" s="159" t="s">
        <v>61</v>
      </c>
      <c r="AG278" s="159" t="s">
        <v>62</v>
      </c>
      <c r="AH278" s="159" t="s">
        <v>63</v>
      </c>
      <c r="AI278" s="159" t="s">
        <v>64</v>
      </c>
      <c r="AJ278" s="159" t="s">
        <v>64</v>
      </c>
      <c r="AK278" s="197" t="s">
        <v>64</v>
      </c>
    </row>
    <row r="279" spans="1:41" ht="84.75" customHeight="1" thickBot="1" x14ac:dyDescent="0.25">
      <c r="A279" s="1"/>
      <c r="B279" s="196" t="s">
        <v>293</v>
      </c>
      <c r="C279" s="143">
        <v>1630</v>
      </c>
      <c r="D279" s="143" t="s">
        <v>784</v>
      </c>
      <c r="E279" s="143" t="s">
        <v>785</v>
      </c>
      <c r="F279" s="175" t="s">
        <v>814</v>
      </c>
      <c r="G279" s="175" t="s">
        <v>124</v>
      </c>
      <c r="H279" s="175" t="s">
        <v>815</v>
      </c>
      <c r="I279" s="176">
        <v>7111115</v>
      </c>
      <c r="J279" s="177" t="s">
        <v>48</v>
      </c>
      <c r="K279" s="177" t="s">
        <v>48</v>
      </c>
      <c r="L279" s="178" t="s">
        <v>266</v>
      </c>
      <c r="M279" s="143" t="s">
        <v>50</v>
      </c>
      <c r="N279" s="145" t="str">
        <f t="shared" si="25"/>
        <v>Pago de servicio telefonía de las instalaciones del Centro de Lenguas</v>
      </c>
      <c r="O279" s="146">
        <v>1</v>
      </c>
      <c r="P279" s="146">
        <v>1</v>
      </c>
      <c r="Q279" s="147">
        <v>11</v>
      </c>
      <c r="R279" s="148" t="s">
        <v>51</v>
      </c>
      <c r="S279" s="149" t="s">
        <v>816</v>
      </c>
      <c r="T279" s="150" t="s">
        <v>53</v>
      </c>
      <c r="U279" s="151">
        <f t="shared" si="22"/>
        <v>7111115</v>
      </c>
      <c r="V279" s="152">
        <f t="shared" si="23"/>
        <v>7111115</v>
      </c>
      <c r="W279" s="153" t="s">
        <v>54</v>
      </c>
      <c r="X279" s="153" t="s">
        <v>55</v>
      </c>
      <c r="Y279" s="154" t="s">
        <v>56</v>
      </c>
      <c r="Z279" s="155" t="s">
        <v>57</v>
      </c>
      <c r="AA279" s="156" t="s">
        <v>293</v>
      </c>
      <c r="AB279" s="157" t="s">
        <v>58</v>
      </c>
      <c r="AC279" s="158" t="s">
        <v>59</v>
      </c>
      <c r="AD279" s="153" t="s">
        <v>54</v>
      </c>
      <c r="AE279" s="153" t="s">
        <v>60</v>
      </c>
      <c r="AF279" s="159" t="s">
        <v>61</v>
      </c>
      <c r="AG279" s="159" t="s">
        <v>62</v>
      </c>
      <c r="AH279" s="159" t="s">
        <v>63</v>
      </c>
      <c r="AI279" s="159" t="s">
        <v>64</v>
      </c>
      <c r="AJ279" s="159" t="s">
        <v>64</v>
      </c>
      <c r="AK279" s="197" t="s">
        <v>64</v>
      </c>
    </row>
    <row r="280" spans="1:41" s="104" customFormat="1" ht="84.75" customHeight="1" thickBot="1" x14ac:dyDescent="0.25">
      <c r="A280" s="103" t="s">
        <v>1201</v>
      </c>
      <c r="B280" s="163" t="s">
        <v>293</v>
      </c>
      <c r="C280" s="163">
        <v>1630</v>
      </c>
      <c r="D280" s="163" t="s">
        <v>817</v>
      </c>
      <c r="E280" s="163" t="s">
        <v>785</v>
      </c>
      <c r="F280" s="175" t="s">
        <v>814</v>
      </c>
      <c r="G280" s="175" t="s">
        <v>124</v>
      </c>
      <c r="H280" s="175" t="s">
        <v>818</v>
      </c>
      <c r="I280" s="176">
        <v>17528000</v>
      </c>
      <c r="J280" s="177"/>
      <c r="K280" s="177"/>
      <c r="L280" s="178"/>
      <c r="M280" s="163"/>
      <c r="N280" s="164"/>
      <c r="O280" s="164"/>
      <c r="P280" s="164"/>
      <c r="Q280" s="164"/>
      <c r="R280" s="165"/>
      <c r="S280" s="166"/>
      <c r="T280" s="167" t="s">
        <v>53</v>
      </c>
      <c r="U280" s="168">
        <f t="shared" ref="U280:U343" si="26">+I280</f>
        <v>17528000</v>
      </c>
      <c r="V280" s="168">
        <f t="shared" ref="V280:V343" si="27">+U280</f>
        <v>17528000</v>
      </c>
      <c r="W280" s="163"/>
      <c r="X280" s="163"/>
      <c r="Y280" s="169"/>
      <c r="Z280" s="170"/>
      <c r="AA280" s="163"/>
      <c r="AB280" s="163"/>
      <c r="AC280" s="171"/>
      <c r="AD280" s="163"/>
      <c r="AE280" s="163"/>
      <c r="AF280" s="172"/>
      <c r="AG280" s="172"/>
      <c r="AH280" s="172"/>
      <c r="AI280" s="172"/>
      <c r="AJ280" s="172"/>
      <c r="AK280" s="198"/>
    </row>
    <row r="281" spans="1:41" ht="84.75" customHeight="1" thickBot="1" x14ac:dyDescent="0.25">
      <c r="A281" s="1"/>
      <c r="B281" s="196" t="s">
        <v>293</v>
      </c>
      <c r="C281" s="143">
        <v>1630</v>
      </c>
      <c r="D281" s="143" t="s">
        <v>817</v>
      </c>
      <c r="E281" s="143" t="s">
        <v>785</v>
      </c>
      <c r="F281" s="175" t="s">
        <v>814</v>
      </c>
      <c r="G281" s="175" t="s">
        <v>124</v>
      </c>
      <c r="H281" s="175" t="s">
        <v>819</v>
      </c>
      <c r="I281" s="176">
        <f>16000000+4002626</f>
        <v>20002626</v>
      </c>
      <c r="J281" s="177" t="s">
        <v>60</v>
      </c>
      <c r="K281" s="177" t="s">
        <v>54</v>
      </c>
      <c r="L281" s="178" t="s">
        <v>820</v>
      </c>
      <c r="M281" s="143" t="s">
        <v>821</v>
      </c>
      <c r="N281" s="145" t="str">
        <f t="shared" si="25"/>
        <v>Diseñar y ejecutar una estrategia comunicativa de posicionamiento en redes, que incluya diseño de piezas gráficas, microvideos, redacción de copys, campaña y pauta en Google Ads, incluida la administración de redes sociales, de conformidad a lo requerido por el Centro de Lenguas.</v>
      </c>
      <c r="O281" s="153">
        <v>7</v>
      </c>
      <c r="P281" s="146">
        <v>8</v>
      </c>
      <c r="Q281" s="147">
        <v>4</v>
      </c>
      <c r="R281" s="148" t="s">
        <v>51</v>
      </c>
      <c r="S281" s="149" t="s">
        <v>822</v>
      </c>
      <c r="T281" s="150" t="s">
        <v>53</v>
      </c>
      <c r="U281" s="151">
        <f t="shared" si="26"/>
        <v>20002626</v>
      </c>
      <c r="V281" s="152">
        <f t="shared" si="27"/>
        <v>20002626</v>
      </c>
      <c r="W281" s="153" t="s">
        <v>54</v>
      </c>
      <c r="X281" s="153" t="s">
        <v>55</v>
      </c>
      <c r="Y281" s="154" t="s">
        <v>56</v>
      </c>
      <c r="Z281" s="155" t="s">
        <v>57</v>
      </c>
      <c r="AA281" s="156" t="s">
        <v>293</v>
      </c>
      <c r="AB281" s="157" t="s">
        <v>58</v>
      </c>
      <c r="AC281" s="158" t="s">
        <v>59</v>
      </c>
      <c r="AD281" s="153" t="s">
        <v>54</v>
      </c>
      <c r="AE281" s="153" t="s">
        <v>60</v>
      </c>
      <c r="AF281" s="159" t="s">
        <v>61</v>
      </c>
      <c r="AG281" s="159" t="s">
        <v>62</v>
      </c>
      <c r="AH281" s="159" t="s">
        <v>63</v>
      </c>
      <c r="AI281" s="159" t="s">
        <v>64</v>
      </c>
      <c r="AJ281" s="159" t="s">
        <v>64</v>
      </c>
      <c r="AK281" s="197" t="s">
        <v>64</v>
      </c>
    </row>
    <row r="282" spans="1:41" ht="84.75" customHeight="1" thickBot="1" x14ac:dyDescent="0.25">
      <c r="A282" s="1"/>
      <c r="B282" s="196" t="s">
        <v>293</v>
      </c>
      <c r="C282" s="143">
        <v>1630</v>
      </c>
      <c r="D282" s="143" t="s">
        <v>817</v>
      </c>
      <c r="E282" s="143" t="s">
        <v>785</v>
      </c>
      <c r="F282" s="175" t="s">
        <v>823</v>
      </c>
      <c r="G282" s="175" t="s">
        <v>824</v>
      </c>
      <c r="H282" s="175" t="s">
        <v>825</v>
      </c>
      <c r="I282" s="176">
        <f>16065000-(965000)</f>
        <v>15100000</v>
      </c>
      <c r="J282" s="177" t="s">
        <v>60</v>
      </c>
      <c r="K282" s="177" t="s">
        <v>48</v>
      </c>
      <c r="L282" s="178" t="s">
        <v>826</v>
      </c>
      <c r="M282" s="143" t="s">
        <v>827</v>
      </c>
      <c r="N282" s="145" t="str">
        <f t="shared" si="25"/>
        <v>Adquirir códigos de acceso necesarios para la realización de los cursos de inglés con metodología a distancia con estrategia de educación virtual a desarrollar por parte del Centro de Lenguas para el primer semestre de la vigencia 2024.</v>
      </c>
      <c r="O282" s="146">
        <v>1</v>
      </c>
      <c r="P282" s="146">
        <v>1</v>
      </c>
      <c r="Q282" s="147">
        <v>11</v>
      </c>
      <c r="R282" s="148" t="s">
        <v>51</v>
      </c>
      <c r="S282" s="149" t="s">
        <v>828</v>
      </c>
      <c r="T282" s="150" t="s">
        <v>53</v>
      </c>
      <c r="U282" s="151">
        <f t="shared" si="26"/>
        <v>15100000</v>
      </c>
      <c r="V282" s="152">
        <f t="shared" si="27"/>
        <v>15100000</v>
      </c>
      <c r="W282" s="153" t="s">
        <v>54</v>
      </c>
      <c r="X282" s="153" t="s">
        <v>55</v>
      </c>
      <c r="Y282" s="154" t="s">
        <v>56</v>
      </c>
      <c r="Z282" s="155" t="s">
        <v>57</v>
      </c>
      <c r="AA282" s="156" t="s">
        <v>293</v>
      </c>
      <c r="AB282" s="157" t="s">
        <v>58</v>
      </c>
      <c r="AC282" s="158" t="s">
        <v>59</v>
      </c>
      <c r="AD282" s="153" t="s">
        <v>54</v>
      </c>
      <c r="AE282" s="153" t="s">
        <v>60</v>
      </c>
      <c r="AF282" s="159" t="s">
        <v>61</v>
      </c>
      <c r="AG282" s="159" t="s">
        <v>62</v>
      </c>
      <c r="AH282" s="159" t="s">
        <v>63</v>
      </c>
      <c r="AI282" s="159" t="s">
        <v>64</v>
      </c>
      <c r="AJ282" s="159" t="s">
        <v>64</v>
      </c>
      <c r="AK282" s="197" t="s">
        <v>64</v>
      </c>
    </row>
    <row r="283" spans="1:41" ht="84.75" customHeight="1" thickBot="1" x14ac:dyDescent="0.25">
      <c r="A283" s="1"/>
      <c r="B283" s="196" t="s">
        <v>42</v>
      </c>
      <c r="C283" s="143">
        <v>1640</v>
      </c>
      <c r="D283" s="143" t="s">
        <v>829</v>
      </c>
      <c r="E283" s="143" t="s">
        <v>830</v>
      </c>
      <c r="F283" s="175" t="s">
        <v>123</v>
      </c>
      <c r="G283" s="175" t="s">
        <v>124</v>
      </c>
      <c r="H283" s="175" t="s">
        <v>831</v>
      </c>
      <c r="I283" s="176">
        <v>23482500</v>
      </c>
      <c r="J283" s="177" t="s">
        <v>60</v>
      </c>
      <c r="K283" s="177" t="s">
        <v>48</v>
      </c>
      <c r="L283" s="178" t="s">
        <v>832</v>
      </c>
      <c r="M283" s="143" t="s">
        <v>833</v>
      </c>
      <c r="N283" s="145" t="str">
        <f t="shared" si="25"/>
        <v xml:space="preserve">Prestar el servicio de la elaboración e impresión de  agendas entre otros elementos institucionales de acuerdo a las necesidades del Instituto Pedagógico Nacional
</v>
      </c>
      <c r="O283" s="146">
        <v>1</v>
      </c>
      <c r="P283" s="146">
        <v>1</v>
      </c>
      <c r="Q283" s="147">
        <v>11</v>
      </c>
      <c r="R283" s="148" t="s">
        <v>51</v>
      </c>
      <c r="S283" s="149" t="s">
        <v>834</v>
      </c>
      <c r="T283" s="150" t="s">
        <v>282</v>
      </c>
      <c r="U283" s="151">
        <f t="shared" si="26"/>
        <v>23482500</v>
      </c>
      <c r="V283" s="152">
        <f t="shared" si="27"/>
        <v>23482500</v>
      </c>
      <c r="W283" s="153" t="s">
        <v>54</v>
      </c>
      <c r="X283" s="153" t="s">
        <v>55</v>
      </c>
      <c r="Y283" s="154" t="s">
        <v>56</v>
      </c>
      <c r="Z283" s="155" t="s">
        <v>57</v>
      </c>
      <c r="AA283" s="156" t="s">
        <v>42</v>
      </c>
      <c r="AB283" s="157" t="s">
        <v>58</v>
      </c>
      <c r="AC283" s="158" t="s">
        <v>59</v>
      </c>
      <c r="AD283" s="153" t="s">
        <v>54</v>
      </c>
      <c r="AE283" s="153" t="s">
        <v>60</v>
      </c>
      <c r="AF283" s="159" t="s">
        <v>61</v>
      </c>
      <c r="AG283" s="159" t="s">
        <v>62</v>
      </c>
      <c r="AH283" s="159" t="s">
        <v>63</v>
      </c>
      <c r="AI283" s="159" t="s">
        <v>64</v>
      </c>
      <c r="AJ283" s="159" t="s">
        <v>64</v>
      </c>
      <c r="AK283" s="197" t="s">
        <v>64</v>
      </c>
    </row>
    <row r="284" spans="1:41" ht="84.75" customHeight="1" thickBot="1" x14ac:dyDescent="0.25">
      <c r="A284" s="1"/>
      <c r="B284" s="196" t="s">
        <v>42</v>
      </c>
      <c r="C284" s="143">
        <v>1640</v>
      </c>
      <c r="D284" s="143" t="s">
        <v>829</v>
      </c>
      <c r="E284" s="143" t="s">
        <v>830</v>
      </c>
      <c r="F284" s="175" t="s">
        <v>123</v>
      </c>
      <c r="G284" s="175" t="s">
        <v>124</v>
      </c>
      <c r="H284" s="175" t="s">
        <v>835</v>
      </c>
      <c r="I284" s="176">
        <f>8109731+1416219</f>
        <v>9525950</v>
      </c>
      <c r="J284" s="177"/>
      <c r="K284" s="177" t="s">
        <v>48</v>
      </c>
      <c r="L284" s="178" t="s">
        <v>836</v>
      </c>
      <c r="M284" s="143">
        <v>82101500</v>
      </c>
      <c r="N284" s="160" t="str">
        <f t="shared" si="25"/>
        <v>Prestar el servicio de impresión de diplomas, placa, copa y demás menciones de honor de acuerdo a los archivos finales aprobados por el Instituto Pedagógico Nacional para la promoción de graduandos 2024 del IPN.</v>
      </c>
      <c r="O284" s="153">
        <v>10</v>
      </c>
      <c r="P284" s="146">
        <v>2</v>
      </c>
      <c r="Q284" s="147">
        <v>2</v>
      </c>
      <c r="R284" s="148" t="s">
        <v>51</v>
      </c>
      <c r="S284" s="149" t="s">
        <v>837</v>
      </c>
      <c r="T284" s="150" t="s">
        <v>282</v>
      </c>
      <c r="U284" s="151">
        <f t="shared" si="26"/>
        <v>9525950</v>
      </c>
      <c r="V284" s="152">
        <f t="shared" si="27"/>
        <v>9525950</v>
      </c>
      <c r="W284" s="153" t="s">
        <v>54</v>
      </c>
      <c r="X284" s="153" t="s">
        <v>55</v>
      </c>
      <c r="Y284" s="154" t="s">
        <v>56</v>
      </c>
      <c r="Z284" s="155" t="s">
        <v>57</v>
      </c>
      <c r="AA284" s="156" t="s">
        <v>42</v>
      </c>
      <c r="AB284" s="157" t="s">
        <v>58</v>
      </c>
      <c r="AC284" s="158" t="s">
        <v>59</v>
      </c>
      <c r="AD284" s="153" t="s">
        <v>54</v>
      </c>
      <c r="AE284" s="153" t="s">
        <v>60</v>
      </c>
      <c r="AF284" s="159" t="s">
        <v>61</v>
      </c>
      <c r="AG284" s="159" t="s">
        <v>62</v>
      </c>
      <c r="AH284" s="159" t="s">
        <v>63</v>
      </c>
      <c r="AI284" s="159" t="s">
        <v>64</v>
      </c>
      <c r="AJ284" s="159" t="s">
        <v>64</v>
      </c>
      <c r="AK284" s="197" t="s">
        <v>64</v>
      </c>
    </row>
    <row r="285" spans="1:41" ht="84.75" customHeight="1" thickBot="1" x14ac:dyDescent="0.25">
      <c r="A285" s="1"/>
      <c r="B285" s="196" t="s">
        <v>42</v>
      </c>
      <c r="C285" s="143">
        <v>1640</v>
      </c>
      <c r="D285" s="143" t="s">
        <v>829</v>
      </c>
      <c r="E285" s="143" t="s">
        <v>830</v>
      </c>
      <c r="F285" s="175" t="s">
        <v>114</v>
      </c>
      <c r="G285" s="175" t="s">
        <v>792</v>
      </c>
      <c r="H285" s="175" t="s">
        <v>835</v>
      </c>
      <c r="I285" s="176">
        <v>285600</v>
      </c>
      <c r="J285" s="177" t="s">
        <v>60</v>
      </c>
      <c r="K285" s="177" t="s">
        <v>48</v>
      </c>
      <c r="L285" s="178" t="s">
        <v>836</v>
      </c>
      <c r="M285" s="143">
        <v>82101500</v>
      </c>
      <c r="N285" s="160"/>
      <c r="O285" s="153">
        <v>10</v>
      </c>
      <c r="P285" s="146">
        <v>10</v>
      </c>
      <c r="Q285" s="147">
        <v>2</v>
      </c>
      <c r="R285" s="148" t="s">
        <v>51</v>
      </c>
      <c r="S285" s="149" t="s">
        <v>837</v>
      </c>
      <c r="T285" s="150" t="s">
        <v>282</v>
      </c>
      <c r="U285" s="151">
        <f t="shared" si="26"/>
        <v>285600</v>
      </c>
      <c r="V285" s="152">
        <f t="shared" si="27"/>
        <v>285600</v>
      </c>
      <c r="W285" s="153" t="s">
        <v>54</v>
      </c>
      <c r="X285" s="153" t="s">
        <v>55</v>
      </c>
      <c r="Y285" s="154" t="s">
        <v>56</v>
      </c>
      <c r="Z285" s="155" t="s">
        <v>57</v>
      </c>
      <c r="AA285" s="156" t="s">
        <v>42</v>
      </c>
      <c r="AB285" s="157" t="s">
        <v>58</v>
      </c>
      <c r="AC285" s="158" t="s">
        <v>59</v>
      </c>
      <c r="AD285" s="153" t="s">
        <v>54</v>
      </c>
      <c r="AE285" s="153" t="s">
        <v>60</v>
      </c>
      <c r="AF285" s="159" t="s">
        <v>61</v>
      </c>
      <c r="AG285" s="159" t="s">
        <v>62</v>
      </c>
      <c r="AH285" s="159" t="s">
        <v>63</v>
      </c>
      <c r="AI285" s="159" t="s">
        <v>64</v>
      </c>
      <c r="AJ285" s="159" t="s">
        <v>64</v>
      </c>
      <c r="AK285" s="197" t="s">
        <v>64</v>
      </c>
    </row>
    <row r="286" spans="1:41" ht="84.75" customHeight="1" thickBot="1" x14ac:dyDescent="0.25">
      <c r="A286" s="1"/>
      <c r="B286" s="196" t="s">
        <v>42</v>
      </c>
      <c r="C286" s="143">
        <v>1640</v>
      </c>
      <c r="D286" s="143" t="s">
        <v>829</v>
      </c>
      <c r="E286" s="143" t="s">
        <v>830</v>
      </c>
      <c r="F286" s="175" t="s">
        <v>84</v>
      </c>
      <c r="G286" s="175" t="s">
        <v>85</v>
      </c>
      <c r="H286" s="175" t="s">
        <v>838</v>
      </c>
      <c r="I286" s="176">
        <f>36120129-1379871</f>
        <v>34740258</v>
      </c>
      <c r="J286" s="177" t="s">
        <v>60</v>
      </c>
      <c r="K286" s="177" t="s">
        <v>244</v>
      </c>
      <c r="L286" s="178" t="s">
        <v>839</v>
      </c>
      <c r="M286" s="143">
        <v>52161500</v>
      </c>
      <c r="N286" s="145" t="str">
        <f>H286</f>
        <v>Adquirir equipos de comunicación para las aulas académicas y sus respectivos soportes y bases para su instalación con el fin de contribuir con el bienestar de los estudiantes del Instituto Pedagógico Nacional</v>
      </c>
      <c r="O286" s="153">
        <v>5</v>
      </c>
      <c r="P286" s="146">
        <v>7</v>
      </c>
      <c r="Q286" s="147">
        <v>11</v>
      </c>
      <c r="R286" s="148" t="s">
        <v>51</v>
      </c>
      <c r="S286" s="149" t="s">
        <v>840</v>
      </c>
      <c r="T286" s="150" t="s">
        <v>282</v>
      </c>
      <c r="U286" s="151">
        <f t="shared" si="26"/>
        <v>34740258</v>
      </c>
      <c r="V286" s="152">
        <f t="shared" si="27"/>
        <v>34740258</v>
      </c>
      <c r="W286" s="153" t="s">
        <v>54</v>
      </c>
      <c r="X286" s="153" t="s">
        <v>55</v>
      </c>
      <c r="Y286" s="154" t="s">
        <v>56</v>
      </c>
      <c r="Z286" s="155" t="s">
        <v>57</v>
      </c>
      <c r="AA286" s="156" t="s">
        <v>42</v>
      </c>
      <c r="AB286" s="157" t="s">
        <v>58</v>
      </c>
      <c r="AC286" s="158" t="s">
        <v>59</v>
      </c>
      <c r="AD286" s="153" t="s">
        <v>54</v>
      </c>
      <c r="AE286" s="153" t="s">
        <v>60</v>
      </c>
      <c r="AF286" s="159" t="s">
        <v>61</v>
      </c>
      <c r="AG286" s="159" t="s">
        <v>62</v>
      </c>
      <c r="AH286" s="159" t="s">
        <v>63</v>
      </c>
      <c r="AI286" s="159" t="s">
        <v>64</v>
      </c>
      <c r="AJ286" s="159" t="s">
        <v>64</v>
      </c>
      <c r="AK286" s="197" t="s">
        <v>64</v>
      </c>
    </row>
    <row r="287" spans="1:41" ht="84.75" customHeight="1" thickBot="1" x14ac:dyDescent="0.25">
      <c r="A287" s="1"/>
      <c r="B287" s="196" t="s">
        <v>42</v>
      </c>
      <c r="C287" s="143">
        <v>1640</v>
      </c>
      <c r="D287" s="143" t="s">
        <v>829</v>
      </c>
      <c r="E287" s="143" t="s">
        <v>830</v>
      </c>
      <c r="F287" s="175" t="s">
        <v>114</v>
      </c>
      <c r="G287" s="175" t="s">
        <v>115</v>
      </c>
      <c r="H287" s="175" t="s">
        <v>838</v>
      </c>
      <c r="I287" s="176">
        <f>3944850-227572</f>
        <v>3717278</v>
      </c>
      <c r="J287" s="177" t="s">
        <v>60</v>
      </c>
      <c r="K287" s="177" t="s">
        <v>244</v>
      </c>
      <c r="L287" s="178" t="s">
        <v>839</v>
      </c>
      <c r="M287" s="143" t="s">
        <v>841</v>
      </c>
      <c r="N287" s="145" t="str">
        <f>H287</f>
        <v>Adquirir equipos de comunicación para las aulas académicas y sus respectivos soportes y bases para su instalación con el fin de contribuir con el bienestar de los estudiantes del Instituto Pedagógico Nacional</v>
      </c>
      <c r="O287" s="146">
        <v>1</v>
      </c>
      <c r="P287" s="146">
        <v>1</v>
      </c>
      <c r="Q287" s="147">
        <v>11</v>
      </c>
      <c r="R287" s="148" t="s">
        <v>51</v>
      </c>
      <c r="S287" s="149" t="s">
        <v>842</v>
      </c>
      <c r="T287" s="150" t="s">
        <v>282</v>
      </c>
      <c r="U287" s="151">
        <f t="shared" si="26"/>
        <v>3717278</v>
      </c>
      <c r="V287" s="152">
        <f t="shared" si="27"/>
        <v>3717278</v>
      </c>
      <c r="W287" s="153" t="s">
        <v>54</v>
      </c>
      <c r="X287" s="153" t="s">
        <v>55</v>
      </c>
      <c r="Y287" s="154" t="s">
        <v>56</v>
      </c>
      <c r="Z287" s="155" t="s">
        <v>57</v>
      </c>
      <c r="AA287" s="156" t="s">
        <v>42</v>
      </c>
      <c r="AB287" s="157" t="s">
        <v>58</v>
      </c>
      <c r="AC287" s="158" t="s">
        <v>59</v>
      </c>
      <c r="AD287" s="153" t="s">
        <v>54</v>
      </c>
      <c r="AE287" s="153" t="s">
        <v>60</v>
      </c>
      <c r="AF287" s="159" t="s">
        <v>61</v>
      </c>
      <c r="AG287" s="159" t="s">
        <v>62</v>
      </c>
      <c r="AH287" s="159" t="s">
        <v>63</v>
      </c>
      <c r="AI287" s="159" t="s">
        <v>64</v>
      </c>
      <c r="AJ287" s="159" t="s">
        <v>64</v>
      </c>
      <c r="AK287" s="197" t="s">
        <v>64</v>
      </c>
    </row>
    <row r="288" spans="1:41" ht="84.75" customHeight="1" thickBot="1" x14ac:dyDescent="0.25">
      <c r="A288" s="1"/>
      <c r="B288" s="196" t="s">
        <v>42</v>
      </c>
      <c r="C288" s="143">
        <v>1640</v>
      </c>
      <c r="D288" s="143" t="s">
        <v>829</v>
      </c>
      <c r="E288" s="143" t="s">
        <v>830</v>
      </c>
      <c r="F288" s="175" t="s">
        <v>99</v>
      </c>
      <c r="G288" s="175" t="s">
        <v>100</v>
      </c>
      <c r="H288" s="175" t="s">
        <v>843</v>
      </c>
      <c r="I288" s="176">
        <f>98894000-(19185682+1100000+28650000+1701819+45360000+2896499)</f>
        <v>0</v>
      </c>
      <c r="J288" s="177" t="s">
        <v>60</v>
      </c>
      <c r="K288" s="177" t="s">
        <v>48</v>
      </c>
      <c r="L288" s="178" t="s">
        <v>844</v>
      </c>
      <c r="M288" s="143" t="s">
        <v>845</v>
      </c>
      <c r="N288" s="145" t="s">
        <v>843</v>
      </c>
      <c r="O288" s="146">
        <v>1</v>
      </c>
      <c r="P288" s="146">
        <v>1</v>
      </c>
      <c r="Q288" s="147">
        <v>11</v>
      </c>
      <c r="R288" s="148" t="s">
        <v>51</v>
      </c>
      <c r="S288" s="149" t="s">
        <v>840</v>
      </c>
      <c r="T288" s="150" t="s">
        <v>282</v>
      </c>
      <c r="U288" s="151">
        <f t="shared" si="26"/>
        <v>0</v>
      </c>
      <c r="V288" s="152">
        <f t="shared" si="27"/>
        <v>0</v>
      </c>
      <c r="W288" s="153" t="s">
        <v>54</v>
      </c>
      <c r="X288" s="153" t="s">
        <v>55</v>
      </c>
      <c r="Y288" s="154" t="s">
        <v>56</v>
      </c>
      <c r="Z288" s="155" t="s">
        <v>57</v>
      </c>
      <c r="AA288" s="156" t="s">
        <v>42</v>
      </c>
      <c r="AB288" s="157" t="s">
        <v>58</v>
      </c>
      <c r="AC288" s="158" t="s">
        <v>59</v>
      </c>
      <c r="AD288" s="153" t="s">
        <v>54</v>
      </c>
      <c r="AE288" s="153" t="s">
        <v>60</v>
      </c>
      <c r="AF288" s="159" t="s">
        <v>61</v>
      </c>
      <c r="AG288" s="159" t="s">
        <v>62</v>
      </c>
      <c r="AH288" s="159" t="s">
        <v>63</v>
      </c>
      <c r="AI288" s="159" t="s">
        <v>64</v>
      </c>
      <c r="AJ288" s="159" t="s">
        <v>64</v>
      </c>
      <c r="AK288" s="197" t="s">
        <v>64</v>
      </c>
    </row>
    <row r="289" spans="1:41" ht="84.75" customHeight="1" thickBot="1" x14ac:dyDescent="0.25">
      <c r="A289" s="1"/>
      <c r="B289" s="196" t="s">
        <v>42</v>
      </c>
      <c r="C289" s="143">
        <v>1640</v>
      </c>
      <c r="D289" s="143" t="s">
        <v>829</v>
      </c>
      <c r="E289" s="143" t="s">
        <v>830</v>
      </c>
      <c r="F289" s="175" t="s">
        <v>114</v>
      </c>
      <c r="G289" s="175" t="s">
        <v>115</v>
      </c>
      <c r="H289" s="175" t="s">
        <v>846</v>
      </c>
      <c r="I289" s="176">
        <v>0</v>
      </c>
      <c r="J289" s="177" t="s">
        <v>48</v>
      </c>
      <c r="K289" s="177" t="s">
        <v>48</v>
      </c>
      <c r="L289" s="178" t="s">
        <v>847</v>
      </c>
      <c r="M289" s="143" t="s">
        <v>841</v>
      </c>
      <c r="N289" s="145" t="str">
        <f>H289</f>
        <v xml:space="preserve">Adquirir bases para televisores de las aulas académicas y sus respectivos soportes con el fin de contribuir con el bienestar de los estudiantes del Instituto Pedagógico Nacional  </v>
      </c>
      <c r="O289" s="146">
        <v>1</v>
      </c>
      <c r="P289" s="146">
        <v>1</v>
      </c>
      <c r="Q289" s="147">
        <v>11</v>
      </c>
      <c r="R289" s="148" t="s">
        <v>51</v>
      </c>
      <c r="S289" s="149" t="s">
        <v>842</v>
      </c>
      <c r="T289" s="150" t="s">
        <v>282</v>
      </c>
      <c r="U289" s="151">
        <f t="shared" si="26"/>
        <v>0</v>
      </c>
      <c r="V289" s="152">
        <f t="shared" si="27"/>
        <v>0</v>
      </c>
      <c r="W289" s="153" t="s">
        <v>54</v>
      </c>
      <c r="X289" s="153" t="s">
        <v>55</v>
      </c>
      <c r="Y289" s="154" t="s">
        <v>56</v>
      </c>
      <c r="Z289" s="155" t="s">
        <v>57</v>
      </c>
      <c r="AA289" s="156" t="s">
        <v>42</v>
      </c>
      <c r="AB289" s="157" t="s">
        <v>58</v>
      </c>
      <c r="AC289" s="158" t="s">
        <v>59</v>
      </c>
      <c r="AD289" s="153" t="s">
        <v>54</v>
      </c>
      <c r="AE289" s="153" t="s">
        <v>60</v>
      </c>
      <c r="AF289" s="159" t="s">
        <v>61</v>
      </c>
      <c r="AG289" s="159" t="s">
        <v>62</v>
      </c>
      <c r="AH289" s="159" t="s">
        <v>63</v>
      </c>
      <c r="AI289" s="159" t="s">
        <v>64</v>
      </c>
      <c r="AJ289" s="159" t="s">
        <v>64</v>
      </c>
      <c r="AK289" s="197" t="s">
        <v>64</v>
      </c>
    </row>
    <row r="290" spans="1:41" ht="84.75" customHeight="1" thickBot="1" x14ac:dyDescent="0.25">
      <c r="A290" s="1"/>
      <c r="B290" s="196" t="s">
        <v>42</v>
      </c>
      <c r="C290" s="143">
        <v>1640</v>
      </c>
      <c r="D290" s="143" t="s">
        <v>829</v>
      </c>
      <c r="E290" s="143" t="s">
        <v>830</v>
      </c>
      <c r="F290" s="175" t="s">
        <v>111</v>
      </c>
      <c r="G290" s="175" t="s">
        <v>112</v>
      </c>
      <c r="H290" s="175" t="s">
        <v>848</v>
      </c>
      <c r="I290" s="176">
        <v>260610</v>
      </c>
      <c r="J290" s="177" t="s">
        <v>48</v>
      </c>
      <c r="K290" s="177" t="s">
        <v>48</v>
      </c>
      <c r="L290" s="178" t="s">
        <v>70</v>
      </c>
      <c r="M290" s="143" t="s">
        <v>50</v>
      </c>
      <c r="N290" s="145" t="str">
        <f>H290</f>
        <v>Gastos por Caja Menor - IPN</v>
      </c>
      <c r="O290" s="146">
        <v>1</v>
      </c>
      <c r="P290" s="146">
        <v>1</v>
      </c>
      <c r="Q290" s="147">
        <v>11</v>
      </c>
      <c r="R290" s="148" t="s">
        <v>51</v>
      </c>
      <c r="S290" s="149" t="s">
        <v>849</v>
      </c>
      <c r="T290" s="150" t="s">
        <v>282</v>
      </c>
      <c r="U290" s="151">
        <f t="shared" si="26"/>
        <v>260610</v>
      </c>
      <c r="V290" s="152">
        <f t="shared" si="27"/>
        <v>260610</v>
      </c>
      <c r="W290" s="153" t="s">
        <v>54</v>
      </c>
      <c r="X290" s="153" t="s">
        <v>55</v>
      </c>
      <c r="Y290" s="154" t="s">
        <v>56</v>
      </c>
      <c r="Z290" s="155" t="s">
        <v>57</v>
      </c>
      <c r="AA290" s="156" t="s">
        <v>42</v>
      </c>
      <c r="AB290" s="157" t="s">
        <v>58</v>
      </c>
      <c r="AC290" s="158" t="s">
        <v>59</v>
      </c>
      <c r="AD290" s="153" t="s">
        <v>54</v>
      </c>
      <c r="AE290" s="153" t="s">
        <v>60</v>
      </c>
      <c r="AF290" s="159" t="s">
        <v>61</v>
      </c>
      <c r="AG290" s="159" t="s">
        <v>62</v>
      </c>
      <c r="AH290" s="159" t="s">
        <v>63</v>
      </c>
      <c r="AI290" s="159" t="s">
        <v>64</v>
      </c>
      <c r="AJ290" s="159" t="s">
        <v>64</v>
      </c>
      <c r="AK290" s="197" t="s">
        <v>64</v>
      </c>
    </row>
    <row r="291" spans="1:41" ht="84.75" customHeight="1" thickBot="1" x14ac:dyDescent="0.25">
      <c r="A291" s="1"/>
      <c r="B291" s="196" t="s">
        <v>42</v>
      </c>
      <c r="C291" s="143">
        <v>1640</v>
      </c>
      <c r="D291" s="143" t="s">
        <v>829</v>
      </c>
      <c r="E291" s="143" t="s">
        <v>830</v>
      </c>
      <c r="F291" s="175" t="s">
        <v>255</v>
      </c>
      <c r="G291" s="175" t="s">
        <v>256</v>
      </c>
      <c r="H291" s="175" t="s">
        <v>850</v>
      </c>
      <c r="I291" s="176">
        <v>90000000</v>
      </c>
      <c r="J291" s="177" t="s">
        <v>60</v>
      </c>
      <c r="K291" s="177" t="s">
        <v>48</v>
      </c>
      <c r="L291" s="178" t="s">
        <v>851</v>
      </c>
      <c r="M291" s="143" t="s">
        <v>852</v>
      </c>
      <c r="N291" s="145" t="str">
        <f>H291</f>
        <v>Realizar reparaciones locativas  del Instituto Pedagógico Nacional</v>
      </c>
      <c r="O291" s="146">
        <v>1</v>
      </c>
      <c r="P291" s="146">
        <v>1</v>
      </c>
      <c r="Q291" s="147">
        <v>11</v>
      </c>
      <c r="R291" s="148" t="s">
        <v>51</v>
      </c>
      <c r="S291" s="149" t="s">
        <v>853</v>
      </c>
      <c r="T291" s="150" t="s">
        <v>282</v>
      </c>
      <c r="U291" s="151">
        <f t="shared" si="26"/>
        <v>90000000</v>
      </c>
      <c r="V291" s="152">
        <f t="shared" si="27"/>
        <v>90000000</v>
      </c>
      <c r="W291" s="153" t="s">
        <v>54</v>
      </c>
      <c r="X291" s="153" t="s">
        <v>55</v>
      </c>
      <c r="Y291" s="154" t="s">
        <v>56</v>
      </c>
      <c r="Z291" s="155" t="s">
        <v>57</v>
      </c>
      <c r="AA291" s="156" t="s">
        <v>42</v>
      </c>
      <c r="AB291" s="157" t="s">
        <v>58</v>
      </c>
      <c r="AC291" s="158" t="s">
        <v>59</v>
      </c>
      <c r="AD291" s="153" t="s">
        <v>54</v>
      </c>
      <c r="AE291" s="153" t="s">
        <v>60</v>
      </c>
      <c r="AF291" s="159" t="s">
        <v>61</v>
      </c>
      <c r="AG291" s="159" t="s">
        <v>62</v>
      </c>
      <c r="AH291" s="159" t="s">
        <v>63</v>
      </c>
      <c r="AI291" s="159" t="s">
        <v>64</v>
      </c>
      <c r="AJ291" s="159" t="s">
        <v>64</v>
      </c>
      <c r="AK291" s="197" t="s">
        <v>64</v>
      </c>
    </row>
    <row r="292" spans="1:41" ht="84.75" customHeight="1" thickBot="1" x14ac:dyDescent="0.25">
      <c r="A292" s="1"/>
      <c r="B292" s="196" t="s">
        <v>42</v>
      </c>
      <c r="C292" s="143">
        <v>1640</v>
      </c>
      <c r="D292" s="143" t="s">
        <v>829</v>
      </c>
      <c r="E292" s="143" t="s">
        <v>830</v>
      </c>
      <c r="F292" s="175" t="s">
        <v>93</v>
      </c>
      <c r="G292" s="175" t="s">
        <v>94</v>
      </c>
      <c r="H292" s="175" t="s">
        <v>854</v>
      </c>
      <c r="I292" s="176">
        <f>1824401+398699-(797895+226506)</f>
        <v>1198699</v>
      </c>
      <c r="J292" s="177" t="s">
        <v>60</v>
      </c>
      <c r="K292" s="177" t="s">
        <v>48</v>
      </c>
      <c r="L292" s="178" t="s">
        <v>855</v>
      </c>
      <c r="M292" s="143" t="s">
        <v>856</v>
      </c>
      <c r="N292" s="239" t="str">
        <f>H292</f>
        <v>Adquirir elementos para el tamizaje de talla y peso para los niños y niñas de la Sección de Educación Inicial IPN (Escuela Maternal)</v>
      </c>
      <c r="O292" s="153">
        <v>7</v>
      </c>
      <c r="P292" s="146">
        <v>8</v>
      </c>
      <c r="Q292" s="147">
        <v>4</v>
      </c>
      <c r="R292" s="148" t="s">
        <v>51</v>
      </c>
      <c r="S292" s="149" t="s">
        <v>857</v>
      </c>
      <c r="T292" s="150" t="s">
        <v>282</v>
      </c>
      <c r="U292" s="151">
        <f t="shared" si="26"/>
        <v>1198699</v>
      </c>
      <c r="V292" s="152">
        <f t="shared" si="27"/>
        <v>1198699</v>
      </c>
      <c r="W292" s="153" t="s">
        <v>54</v>
      </c>
      <c r="X292" s="153" t="s">
        <v>55</v>
      </c>
      <c r="Y292" s="154" t="s">
        <v>56</v>
      </c>
      <c r="Z292" s="155" t="s">
        <v>57</v>
      </c>
      <c r="AA292" s="156" t="s">
        <v>42</v>
      </c>
      <c r="AB292" s="157" t="s">
        <v>58</v>
      </c>
      <c r="AC292" s="158" t="s">
        <v>59</v>
      </c>
      <c r="AD292" s="153" t="s">
        <v>54</v>
      </c>
      <c r="AE292" s="153" t="s">
        <v>60</v>
      </c>
      <c r="AF292" s="159" t="s">
        <v>61</v>
      </c>
      <c r="AG292" s="159" t="s">
        <v>62</v>
      </c>
      <c r="AH292" s="159" t="s">
        <v>63</v>
      </c>
      <c r="AI292" s="159" t="s">
        <v>64</v>
      </c>
      <c r="AJ292" s="159" t="s">
        <v>64</v>
      </c>
      <c r="AK292" s="197" t="s">
        <v>64</v>
      </c>
    </row>
    <row r="293" spans="1:41" ht="84.75" customHeight="1" thickBot="1" x14ac:dyDescent="0.25">
      <c r="A293" s="1"/>
      <c r="B293" s="196" t="s">
        <v>42</v>
      </c>
      <c r="C293" s="143">
        <v>1640</v>
      </c>
      <c r="D293" s="143" t="s">
        <v>829</v>
      </c>
      <c r="E293" s="143" t="s">
        <v>830</v>
      </c>
      <c r="F293" s="175" t="s">
        <v>114</v>
      </c>
      <c r="G293" s="175" t="s">
        <v>115</v>
      </c>
      <c r="H293" s="175" t="s">
        <v>854</v>
      </c>
      <c r="I293" s="176">
        <f>102578+226506-155939</f>
        <v>173145</v>
      </c>
      <c r="J293" s="177" t="s">
        <v>60</v>
      </c>
      <c r="K293" s="177" t="s">
        <v>48</v>
      </c>
      <c r="L293" s="178" t="s">
        <v>855</v>
      </c>
      <c r="M293" s="143">
        <v>27111800</v>
      </c>
      <c r="N293" s="239"/>
      <c r="O293" s="153">
        <v>7</v>
      </c>
      <c r="P293" s="146">
        <v>8</v>
      </c>
      <c r="Q293" s="147">
        <v>4</v>
      </c>
      <c r="R293" s="148" t="s">
        <v>51</v>
      </c>
      <c r="S293" s="149" t="s">
        <v>857</v>
      </c>
      <c r="T293" s="150" t="s">
        <v>282</v>
      </c>
      <c r="U293" s="151">
        <f t="shared" si="26"/>
        <v>173145</v>
      </c>
      <c r="V293" s="152">
        <f t="shared" si="27"/>
        <v>173145</v>
      </c>
      <c r="W293" s="153" t="s">
        <v>54</v>
      </c>
      <c r="X293" s="153" t="s">
        <v>55</v>
      </c>
      <c r="Y293" s="154" t="s">
        <v>56</v>
      </c>
      <c r="Z293" s="155" t="s">
        <v>57</v>
      </c>
      <c r="AA293" s="156" t="s">
        <v>42</v>
      </c>
      <c r="AB293" s="157" t="s">
        <v>58</v>
      </c>
      <c r="AC293" s="158" t="s">
        <v>59</v>
      </c>
      <c r="AD293" s="153" t="s">
        <v>54</v>
      </c>
      <c r="AE293" s="153" t="s">
        <v>60</v>
      </c>
      <c r="AF293" s="159" t="s">
        <v>61</v>
      </c>
      <c r="AG293" s="159" t="s">
        <v>62</v>
      </c>
      <c r="AH293" s="159" t="s">
        <v>63</v>
      </c>
      <c r="AI293" s="159" t="s">
        <v>64</v>
      </c>
      <c r="AJ293" s="159" t="s">
        <v>64</v>
      </c>
      <c r="AK293" s="197" t="s">
        <v>64</v>
      </c>
    </row>
    <row r="294" spans="1:41" ht="84.75" customHeight="1" thickBot="1" x14ac:dyDescent="0.25">
      <c r="A294" s="1"/>
      <c r="B294" s="196" t="s">
        <v>42</v>
      </c>
      <c r="C294" s="143">
        <v>1640</v>
      </c>
      <c r="D294" s="143" t="s">
        <v>829</v>
      </c>
      <c r="E294" s="143" t="s">
        <v>830</v>
      </c>
      <c r="F294" s="175" t="s">
        <v>664</v>
      </c>
      <c r="G294" s="175" t="s">
        <v>858</v>
      </c>
      <c r="H294" s="175" t="s">
        <v>854</v>
      </c>
      <c r="I294" s="176">
        <f>797895- 242760</f>
        <v>555135</v>
      </c>
      <c r="J294" s="177" t="s">
        <v>60</v>
      </c>
      <c r="K294" s="177" t="s">
        <v>48</v>
      </c>
      <c r="L294" s="178" t="s">
        <v>855</v>
      </c>
      <c r="M294" s="143">
        <v>41111614</v>
      </c>
      <c r="N294" s="239"/>
      <c r="O294" s="153">
        <v>7</v>
      </c>
      <c r="P294" s="146">
        <v>8</v>
      </c>
      <c r="Q294" s="147">
        <v>4</v>
      </c>
      <c r="R294" s="148" t="s">
        <v>51</v>
      </c>
      <c r="S294" s="149" t="s">
        <v>857</v>
      </c>
      <c r="T294" s="150" t="s">
        <v>282</v>
      </c>
      <c r="U294" s="151">
        <f t="shared" si="26"/>
        <v>555135</v>
      </c>
      <c r="V294" s="152">
        <f t="shared" si="27"/>
        <v>555135</v>
      </c>
      <c r="W294" s="153" t="s">
        <v>54</v>
      </c>
      <c r="X294" s="153" t="s">
        <v>55</v>
      </c>
      <c r="Y294" s="154" t="s">
        <v>56</v>
      </c>
      <c r="Z294" s="155" t="s">
        <v>57</v>
      </c>
      <c r="AA294" s="156" t="s">
        <v>42</v>
      </c>
      <c r="AB294" s="157" t="s">
        <v>58</v>
      </c>
      <c r="AC294" s="158" t="s">
        <v>59</v>
      </c>
      <c r="AD294" s="153" t="s">
        <v>54</v>
      </c>
      <c r="AE294" s="153" t="s">
        <v>60</v>
      </c>
      <c r="AF294" s="159" t="s">
        <v>61</v>
      </c>
      <c r="AG294" s="159" t="s">
        <v>62</v>
      </c>
      <c r="AH294" s="159" t="s">
        <v>63</v>
      </c>
      <c r="AI294" s="159" t="s">
        <v>64</v>
      </c>
      <c r="AJ294" s="159" t="s">
        <v>64</v>
      </c>
      <c r="AK294" s="197" t="s">
        <v>64</v>
      </c>
    </row>
    <row r="295" spans="1:41" s="30" customFormat="1" ht="84.75" customHeight="1" thickBot="1" x14ac:dyDescent="0.25">
      <c r="A295" s="1"/>
      <c r="B295" s="196" t="s">
        <v>42</v>
      </c>
      <c r="C295" s="143">
        <v>1650</v>
      </c>
      <c r="D295" s="143" t="s">
        <v>859</v>
      </c>
      <c r="E295" s="143" t="s">
        <v>156</v>
      </c>
      <c r="F295" s="175" t="s">
        <v>126</v>
      </c>
      <c r="G295" s="175" t="s">
        <v>127</v>
      </c>
      <c r="H295" s="175" t="s">
        <v>860</v>
      </c>
      <c r="I295" s="176">
        <f>4720000+1784000+1504044</f>
        <v>8008044</v>
      </c>
      <c r="J295" s="177" t="s">
        <v>60</v>
      </c>
      <c r="K295" s="177" t="s">
        <v>48</v>
      </c>
      <c r="L295" s="178" t="s">
        <v>861</v>
      </c>
      <c r="M295" s="143">
        <v>83121700</v>
      </c>
      <c r="N295" s="145" t="str">
        <f t="shared" ref="N295:N304" si="28">H295</f>
        <v xml:space="preserve">Prestar el servicio de streaming de RadioBoss, con licencia de
automatizador de Radio AzuraCats, para el sitio
web radio.upn.edu.co
</v>
      </c>
      <c r="O295" s="146">
        <v>1</v>
      </c>
      <c r="P295" s="146">
        <v>1</v>
      </c>
      <c r="Q295" s="147">
        <v>11</v>
      </c>
      <c r="R295" s="148" t="s">
        <v>51</v>
      </c>
      <c r="S295" s="149" t="s">
        <v>862</v>
      </c>
      <c r="T295" s="150" t="s">
        <v>53</v>
      </c>
      <c r="U295" s="151">
        <f t="shared" si="26"/>
        <v>8008044</v>
      </c>
      <c r="V295" s="152">
        <f t="shared" si="27"/>
        <v>8008044</v>
      </c>
      <c r="W295" s="153" t="s">
        <v>54</v>
      </c>
      <c r="X295" s="153" t="s">
        <v>55</v>
      </c>
      <c r="Y295" s="154" t="s">
        <v>56</v>
      </c>
      <c r="Z295" s="155" t="s">
        <v>57</v>
      </c>
      <c r="AA295" s="156" t="s">
        <v>42</v>
      </c>
      <c r="AB295" s="157" t="s">
        <v>58</v>
      </c>
      <c r="AC295" s="158" t="s">
        <v>59</v>
      </c>
      <c r="AD295" s="153" t="s">
        <v>54</v>
      </c>
      <c r="AE295" s="153" t="s">
        <v>60</v>
      </c>
      <c r="AF295" s="159" t="s">
        <v>61</v>
      </c>
      <c r="AG295" s="159" t="s">
        <v>62</v>
      </c>
      <c r="AH295" s="159" t="s">
        <v>63</v>
      </c>
      <c r="AI295" s="159" t="s">
        <v>64</v>
      </c>
      <c r="AJ295" s="159" t="s">
        <v>64</v>
      </c>
      <c r="AK295" s="197" t="s">
        <v>64</v>
      </c>
      <c r="AL295" s="42"/>
      <c r="AM295" s="42"/>
      <c r="AN295" s="42"/>
      <c r="AO295" s="42"/>
    </row>
    <row r="296" spans="1:41" s="30" customFormat="1" ht="84.75" customHeight="1" thickBot="1" x14ac:dyDescent="0.25">
      <c r="A296" s="1"/>
      <c r="B296" s="196" t="s">
        <v>42</v>
      </c>
      <c r="C296" s="143">
        <v>1650</v>
      </c>
      <c r="D296" s="143" t="s">
        <v>859</v>
      </c>
      <c r="E296" s="143" t="s">
        <v>156</v>
      </c>
      <c r="F296" s="175" t="s">
        <v>123</v>
      </c>
      <c r="G296" s="175" t="s">
        <v>124</v>
      </c>
      <c r="H296" s="175" t="s">
        <v>863</v>
      </c>
      <c r="I296" s="176">
        <v>0</v>
      </c>
      <c r="J296" s="177" t="s">
        <v>60</v>
      </c>
      <c r="K296" s="177" t="s">
        <v>48</v>
      </c>
      <c r="L296" s="178" t="s">
        <v>864</v>
      </c>
      <c r="M296" s="143" t="s">
        <v>569</v>
      </c>
      <c r="N296" s="145" t="str">
        <f t="shared" si="28"/>
        <v>Prestar el servicio de soporte del sitio Web Wordpress de la emisora.  - EMISORA</v>
      </c>
      <c r="O296" s="146">
        <v>1</v>
      </c>
      <c r="P296" s="146">
        <v>1</v>
      </c>
      <c r="Q296" s="147">
        <v>11</v>
      </c>
      <c r="R296" s="148" t="s">
        <v>51</v>
      </c>
      <c r="S296" s="149" t="s">
        <v>865</v>
      </c>
      <c r="T296" s="150" t="s">
        <v>53</v>
      </c>
      <c r="U296" s="151">
        <f t="shared" si="26"/>
        <v>0</v>
      </c>
      <c r="V296" s="152">
        <f t="shared" si="27"/>
        <v>0</v>
      </c>
      <c r="W296" s="153" t="s">
        <v>54</v>
      </c>
      <c r="X296" s="153" t="s">
        <v>55</v>
      </c>
      <c r="Y296" s="154" t="s">
        <v>56</v>
      </c>
      <c r="Z296" s="155" t="s">
        <v>57</v>
      </c>
      <c r="AA296" s="156" t="s">
        <v>42</v>
      </c>
      <c r="AB296" s="157" t="s">
        <v>58</v>
      </c>
      <c r="AC296" s="158" t="s">
        <v>59</v>
      </c>
      <c r="AD296" s="153" t="s">
        <v>54</v>
      </c>
      <c r="AE296" s="153" t="s">
        <v>60</v>
      </c>
      <c r="AF296" s="159" t="s">
        <v>61</v>
      </c>
      <c r="AG296" s="159" t="s">
        <v>62</v>
      </c>
      <c r="AH296" s="159" t="s">
        <v>63</v>
      </c>
      <c r="AI296" s="159" t="s">
        <v>64</v>
      </c>
      <c r="AJ296" s="159" t="s">
        <v>64</v>
      </c>
      <c r="AK296" s="197" t="s">
        <v>64</v>
      </c>
      <c r="AL296" s="42"/>
      <c r="AM296" s="42"/>
      <c r="AN296" s="42"/>
      <c r="AO296" s="42"/>
    </row>
    <row r="297" spans="1:41" s="33" customFormat="1" ht="84.75" customHeight="1" thickBot="1" x14ac:dyDescent="0.25">
      <c r="A297" s="1"/>
      <c r="B297" s="196" t="s">
        <v>42</v>
      </c>
      <c r="C297" s="143">
        <v>1320</v>
      </c>
      <c r="D297" s="143" t="s">
        <v>150</v>
      </c>
      <c r="E297" s="143" t="s">
        <v>44</v>
      </c>
      <c r="F297" s="175" t="s">
        <v>120</v>
      </c>
      <c r="G297" s="175" t="s">
        <v>121</v>
      </c>
      <c r="H297" s="175" t="s">
        <v>866</v>
      </c>
      <c r="I297" s="176">
        <v>247025474</v>
      </c>
      <c r="J297" s="177" t="s">
        <v>48</v>
      </c>
      <c r="K297" s="177" t="s">
        <v>48</v>
      </c>
      <c r="L297" s="178" t="s">
        <v>510</v>
      </c>
      <c r="M297" s="143" t="s">
        <v>50</v>
      </c>
      <c r="N297" s="145" t="str">
        <f t="shared" si="28"/>
        <v xml:space="preserve">Amparar el canon de arrendamiento de los Contratos No. 898 de 2003 - Cra 22 # 73-31 Casa 1 Escuela Maternal, Contrato No. 899 de 2003 - Cra 22 # 73-45. Casa 2 Escuela Maternal, Contrato No.001 de 2012 - Edificio Administrativo calle 79,  para la Facultad de Bellas Artes  inmueble ubicado en la carrera 9 No. 70- 69 en Bogotá D.C 
</v>
      </c>
      <c r="O297" s="146">
        <v>1</v>
      </c>
      <c r="P297" s="146">
        <v>1</v>
      </c>
      <c r="Q297" s="147">
        <v>11</v>
      </c>
      <c r="R297" s="148" t="s">
        <v>51</v>
      </c>
      <c r="S297" s="149" t="s">
        <v>511</v>
      </c>
      <c r="T297" s="150" t="s">
        <v>53</v>
      </c>
      <c r="U297" s="151">
        <f t="shared" si="26"/>
        <v>247025474</v>
      </c>
      <c r="V297" s="152">
        <f t="shared" si="27"/>
        <v>247025474</v>
      </c>
      <c r="W297" s="153" t="s">
        <v>54</v>
      </c>
      <c r="X297" s="153" t="s">
        <v>55</v>
      </c>
      <c r="Y297" s="154" t="s">
        <v>56</v>
      </c>
      <c r="Z297" s="155" t="s">
        <v>57</v>
      </c>
      <c r="AA297" s="156" t="s">
        <v>42</v>
      </c>
      <c r="AB297" s="157" t="s">
        <v>58</v>
      </c>
      <c r="AC297" s="158" t="s">
        <v>59</v>
      </c>
      <c r="AD297" s="153" t="s">
        <v>54</v>
      </c>
      <c r="AE297" s="153" t="s">
        <v>60</v>
      </c>
      <c r="AF297" s="159" t="s">
        <v>61</v>
      </c>
      <c r="AG297" s="159" t="s">
        <v>62</v>
      </c>
      <c r="AH297" s="159" t="s">
        <v>63</v>
      </c>
      <c r="AI297" s="159" t="s">
        <v>64</v>
      </c>
      <c r="AJ297" s="159" t="s">
        <v>64</v>
      </c>
      <c r="AK297" s="197" t="s">
        <v>64</v>
      </c>
      <c r="AL297" s="42"/>
      <c r="AM297" s="42"/>
      <c r="AN297" s="42"/>
      <c r="AO297" s="42"/>
    </row>
    <row r="298" spans="1:41" s="33" customFormat="1" ht="84.75" customHeight="1" thickBot="1" x14ac:dyDescent="0.25">
      <c r="A298" s="1"/>
      <c r="B298" s="196" t="s">
        <v>42</v>
      </c>
      <c r="C298" s="143">
        <v>1320</v>
      </c>
      <c r="D298" s="143" t="s">
        <v>150</v>
      </c>
      <c r="E298" s="143" t="s">
        <v>44</v>
      </c>
      <c r="F298" s="175" t="s">
        <v>120</v>
      </c>
      <c r="G298" s="175" t="s">
        <v>121</v>
      </c>
      <c r="H298" s="175" t="s">
        <v>866</v>
      </c>
      <c r="I298" s="176">
        <v>472313539</v>
      </c>
      <c r="J298" s="177" t="s">
        <v>48</v>
      </c>
      <c r="K298" s="177" t="s">
        <v>48</v>
      </c>
      <c r="L298" s="178" t="s">
        <v>510</v>
      </c>
      <c r="M298" s="143" t="s">
        <v>50</v>
      </c>
      <c r="N298" s="145" t="str">
        <f t="shared" ref="N298" si="29">H298</f>
        <v xml:space="preserve">Amparar el canon de arrendamiento de los Contratos No. 898 de 2003 - Cra 22 # 73-31 Casa 1 Escuela Maternal, Contrato No. 899 de 2003 - Cra 22 # 73-45. Casa 2 Escuela Maternal, Contrato No.001 de 2012 - Edificio Administrativo calle 79,  para la Facultad de Bellas Artes  inmueble ubicado en la carrera 9 No. 70- 69 en Bogotá D.C 
</v>
      </c>
      <c r="O298" s="146">
        <v>1</v>
      </c>
      <c r="P298" s="146">
        <v>1</v>
      </c>
      <c r="Q298" s="147">
        <v>11</v>
      </c>
      <c r="R298" s="148" t="s">
        <v>51</v>
      </c>
      <c r="S298" s="149" t="s">
        <v>511</v>
      </c>
      <c r="T298" s="150" t="s">
        <v>282</v>
      </c>
      <c r="U298" s="151">
        <f t="shared" ref="U298" si="30">+I298</f>
        <v>472313539</v>
      </c>
      <c r="V298" s="152">
        <f t="shared" ref="V298" si="31">+U298</f>
        <v>472313539</v>
      </c>
      <c r="W298" s="153" t="s">
        <v>54</v>
      </c>
      <c r="X298" s="153" t="s">
        <v>55</v>
      </c>
      <c r="Y298" s="154" t="s">
        <v>56</v>
      </c>
      <c r="Z298" s="155" t="s">
        <v>57</v>
      </c>
      <c r="AA298" s="156" t="s">
        <v>42</v>
      </c>
      <c r="AB298" s="157" t="s">
        <v>58</v>
      </c>
      <c r="AC298" s="158" t="s">
        <v>59</v>
      </c>
      <c r="AD298" s="153" t="s">
        <v>54</v>
      </c>
      <c r="AE298" s="153" t="s">
        <v>60</v>
      </c>
      <c r="AF298" s="159" t="s">
        <v>61</v>
      </c>
      <c r="AG298" s="159" t="s">
        <v>62</v>
      </c>
      <c r="AH298" s="159" t="s">
        <v>63</v>
      </c>
      <c r="AI298" s="159" t="s">
        <v>64</v>
      </c>
      <c r="AJ298" s="159" t="s">
        <v>64</v>
      </c>
      <c r="AK298" s="197" t="s">
        <v>64</v>
      </c>
      <c r="AL298" s="42"/>
      <c r="AM298" s="42"/>
      <c r="AN298" s="42"/>
      <c r="AO298" s="42"/>
    </row>
    <row r="299" spans="1:41" ht="84.75" customHeight="1" thickBot="1" x14ac:dyDescent="0.25">
      <c r="A299" s="1"/>
      <c r="B299" s="196" t="s">
        <v>42</v>
      </c>
      <c r="C299" s="143">
        <v>1000</v>
      </c>
      <c r="D299" s="143" t="s">
        <v>867</v>
      </c>
      <c r="E299" s="143" t="s">
        <v>868</v>
      </c>
      <c r="F299" s="175" t="s">
        <v>869</v>
      </c>
      <c r="G299" s="175" t="s">
        <v>870</v>
      </c>
      <c r="H299" s="175" t="str">
        <f>G299</f>
        <v xml:space="preserve">Banca comercial </v>
      </c>
      <c r="I299" s="176">
        <v>3422250000</v>
      </c>
      <c r="J299" s="177" t="s">
        <v>48</v>
      </c>
      <c r="K299" s="177" t="s">
        <v>54</v>
      </c>
      <c r="L299" s="178" t="s">
        <v>871</v>
      </c>
      <c r="M299" s="143" t="s">
        <v>50</v>
      </c>
      <c r="N299" s="145" t="str">
        <f t="shared" si="28"/>
        <v xml:space="preserve">Banca comercial </v>
      </c>
      <c r="O299" s="146">
        <v>1</v>
      </c>
      <c r="P299" s="146">
        <v>1</v>
      </c>
      <c r="Q299" s="147">
        <v>11</v>
      </c>
      <c r="R299" s="148" t="s">
        <v>51</v>
      </c>
      <c r="S299" s="149" t="s">
        <v>872</v>
      </c>
      <c r="T299" s="150" t="s">
        <v>53</v>
      </c>
      <c r="U299" s="151">
        <f t="shared" si="26"/>
        <v>3422250000</v>
      </c>
      <c r="V299" s="152">
        <f t="shared" si="27"/>
        <v>3422250000</v>
      </c>
      <c r="W299" s="153" t="s">
        <v>54</v>
      </c>
      <c r="X299" s="153" t="s">
        <v>55</v>
      </c>
      <c r="Y299" s="154" t="s">
        <v>56</v>
      </c>
      <c r="Z299" s="155" t="s">
        <v>57</v>
      </c>
      <c r="AA299" s="156" t="s">
        <v>42</v>
      </c>
      <c r="AB299" s="157" t="s">
        <v>58</v>
      </c>
      <c r="AC299" s="158" t="s">
        <v>59</v>
      </c>
      <c r="AD299" s="153" t="s">
        <v>54</v>
      </c>
      <c r="AE299" s="153" t="s">
        <v>60</v>
      </c>
      <c r="AF299" s="159" t="s">
        <v>61</v>
      </c>
      <c r="AG299" s="159" t="s">
        <v>62</v>
      </c>
      <c r="AH299" s="159" t="s">
        <v>63</v>
      </c>
      <c r="AI299" s="159" t="s">
        <v>64</v>
      </c>
      <c r="AJ299" s="159" t="s">
        <v>64</v>
      </c>
      <c r="AK299" s="197" t="s">
        <v>64</v>
      </c>
    </row>
    <row r="300" spans="1:41" ht="84.75" customHeight="1" thickBot="1" x14ac:dyDescent="0.25">
      <c r="A300" s="1"/>
      <c r="B300" s="196" t="s">
        <v>42</v>
      </c>
      <c r="C300" s="143">
        <v>1390</v>
      </c>
      <c r="D300" s="143" t="s">
        <v>873</v>
      </c>
      <c r="E300" s="143" t="s">
        <v>874</v>
      </c>
      <c r="F300" s="175" t="s">
        <v>123</v>
      </c>
      <c r="G300" s="175" t="s">
        <v>345</v>
      </c>
      <c r="H300" s="175" t="s">
        <v>875</v>
      </c>
      <c r="I300" s="176">
        <v>1116615116</v>
      </c>
      <c r="J300" s="177" t="s">
        <v>48</v>
      </c>
      <c r="K300" s="177" t="s">
        <v>48</v>
      </c>
      <c r="L300" s="178" t="s">
        <v>876</v>
      </c>
      <c r="M300" s="143" t="s">
        <v>50</v>
      </c>
      <c r="N300" s="145" t="str">
        <f t="shared" si="28"/>
        <v>PAGOS ETICT</v>
      </c>
      <c r="O300" s="146">
        <v>1</v>
      </c>
      <c r="P300" s="146">
        <v>1</v>
      </c>
      <c r="Q300" s="147">
        <v>11</v>
      </c>
      <c r="R300" s="148" t="s">
        <v>51</v>
      </c>
      <c r="S300" s="149" t="s">
        <v>877</v>
      </c>
      <c r="T300" s="150" t="s">
        <v>53</v>
      </c>
      <c r="U300" s="151">
        <f t="shared" si="26"/>
        <v>1116615116</v>
      </c>
      <c r="V300" s="152">
        <f t="shared" si="27"/>
        <v>1116615116</v>
      </c>
      <c r="W300" s="153" t="s">
        <v>54</v>
      </c>
      <c r="X300" s="153" t="s">
        <v>55</v>
      </c>
      <c r="Y300" s="154" t="s">
        <v>56</v>
      </c>
      <c r="Z300" s="155" t="s">
        <v>57</v>
      </c>
      <c r="AA300" s="156" t="s">
        <v>42</v>
      </c>
      <c r="AB300" s="157" t="s">
        <v>58</v>
      </c>
      <c r="AC300" s="158" t="s">
        <v>59</v>
      </c>
      <c r="AD300" s="153" t="s">
        <v>54</v>
      </c>
      <c r="AE300" s="153" t="s">
        <v>60</v>
      </c>
      <c r="AF300" s="159" t="s">
        <v>61</v>
      </c>
      <c r="AG300" s="159" t="s">
        <v>62</v>
      </c>
      <c r="AH300" s="159" t="s">
        <v>63</v>
      </c>
      <c r="AI300" s="159" t="s">
        <v>64</v>
      </c>
      <c r="AJ300" s="159" t="s">
        <v>64</v>
      </c>
      <c r="AK300" s="197" t="s">
        <v>64</v>
      </c>
    </row>
    <row r="301" spans="1:41" ht="84.75" customHeight="1" thickBot="1" x14ac:dyDescent="0.25">
      <c r="A301" s="1"/>
      <c r="B301" s="196" t="s">
        <v>240</v>
      </c>
      <c r="C301" s="143">
        <v>1322</v>
      </c>
      <c r="D301" s="143" t="s">
        <v>554</v>
      </c>
      <c r="E301" s="143" t="s">
        <v>242</v>
      </c>
      <c r="F301" s="175" t="s">
        <v>123</v>
      </c>
      <c r="G301" s="175" t="s">
        <v>124</v>
      </c>
      <c r="H301" s="175" t="s">
        <v>878</v>
      </c>
      <c r="I301" s="176">
        <f>25000000-10442250</f>
        <v>14557750</v>
      </c>
      <c r="J301" s="177" t="s">
        <v>60</v>
      </c>
      <c r="K301" s="177" t="s">
        <v>54</v>
      </c>
      <c r="L301" s="178" t="s">
        <v>879</v>
      </c>
      <c r="M301" s="143">
        <v>81141600</v>
      </c>
      <c r="N301" s="145" t="str">
        <f t="shared" si="28"/>
        <v>Prestar el servicio de montaje del stand de la Universidad Pedagógica Nacional en Expo Estudiante 2024 y montaje Stand. - SAD</v>
      </c>
      <c r="O301" s="146">
        <v>1</v>
      </c>
      <c r="P301" s="146">
        <v>1</v>
      </c>
      <c r="Q301" s="147">
        <v>11</v>
      </c>
      <c r="R301" s="148" t="s">
        <v>51</v>
      </c>
      <c r="S301" s="149" t="s">
        <v>880</v>
      </c>
      <c r="T301" s="150" t="s">
        <v>53</v>
      </c>
      <c r="U301" s="151">
        <f t="shared" si="26"/>
        <v>14557750</v>
      </c>
      <c r="V301" s="152">
        <f t="shared" si="27"/>
        <v>14557750</v>
      </c>
      <c r="W301" s="153" t="s">
        <v>54</v>
      </c>
      <c r="X301" s="153" t="s">
        <v>55</v>
      </c>
      <c r="Y301" s="154" t="s">
        <v>56</v>
      </c>
      <c r="Z301" s="155" t="s">
        <v>57</v>
      </c>
      <c r="AA301" s="156" t="s">
        <v>240</v>
      </c>
      <c r="AB301" s="157" t="s">
        <v>58</v>
      </c>
      <c r="AC301" s="158" t="s">
        <v>59</v>
      </c>
      <c r="AD301" s="153" t="s">
        <v>54</v>
      </c>
      <c r="AE301" s="153" t="s">
        <v>60</v>
      </c>
      <c r="AF301" s="159" t="s">
        <v>61</v>
      </c>
      <c r="AG301" s="159" t="s">
        <v>62</v>
      </c>
      <c r="AH301" s="159" t="s">
        <v>63</v>
      </c>
      <c r="AI301" s="159" t="s">
        <v>64</v>
      </c>
      <c r="AJ301" s="159" t="s">
        <v>64</v>
      </c>
      <c r="AK301" s="197" t="s">
        <v>64</v>
      </c>
    </row>
    <row r="302" spans="1:41" ht="84.75" customHeight="1" thickBot="1" x14ac:dyDescent="0.25">
      <c r="A302" s="1"/>
      <c r="B302" s="196" t="s">
        <v>42</v>
      </c>
      <c r="C302" s="143">
        <v>1320</v>
      </c>
      <c r="D302" s="143" t="s">
        <v>150</v>
      </c>
      <c r="E302" s="143" t="s">
        <v>44</v>
      </c>
      <c r="F302" s="175" t="s">
        <v>123</v>
      </c>
      <c r="G302" s="175" t="s">
        <v>124</v>
      </c>
      <c r="H302" s="175" t="s">
        <v>881</v>
      </c>
      <c r="I302" s="176">
        <v>629836024</v>
      </c>
      <c r="J302" s="177" t="s">
        <v>575</v>
      </c>
      <c r="K302" s="177" t="s">
        <v>48</v>
      </c>
      <c r="L302" s="178" t="s">
        <v>882</v>
      </c>
      <c r="M302" s="143">
        <v>92121500</v>
      </c>
      <c r="N302" s="145" t="str">
        <f t="shared" si="28"/>
        <v xml:space="preserve">Adicionar el contrato de prestación de servicios No 005 de 2023, cuyo objeto es "Contratar la prestación del servicio de vigilancia y seguridad privada para las personas y bienes muebles e inmuebles de la Universidad Pedagógica Nacional" </v>
      </c>
      <c r="O302" s="146">
        <v>1</v>
      </c>
      <c r="P302" s="146">
        <v>1</v>
      </c>
      <c r="Q302" s="147">
        <v>11</v>
      </c>
      <c r="R302" s="148" t="s">
        <v>51</v>
      </c>
      <c r="S302" s="149" t="s">
        <v>281</v>
      </c>
      <c r="T302" s="150" t="s">
        <v>53</v>
      </c>
      <c r="U302" s="151">
        <f t="shared" si="26"/>
        <v>629836024</v>
      </c>
      <c r="V302" s="152">
        <f t="shared" si="27"/>
        <v>629836024</v>
      </c>
      <c r="W302" s="153" t="s">
        <v>54</v>
      </c>
      <c r="X302" s="153" t="s">
        <v>55</v>
      </c>
      <c r="Y302" s="154" t="s">
        <v>56</v>
      </c>
      <c r="Z302" s="155" t="s">
        <v>57</v>
      </c>
      <c r="AA302" s="156" t="s">
        <v>42</v>
      </c>
      <c r="AB302" s="157" t="s">
        <v>58</v>
      </c>
      <c r="AC302" s="158" t="s">
        <v>59</v>
      </c>
      <c r="AD302" s="153" t="s">
        <v>54</v>
      </c>
      <c r="AE302" s="153" t="s">
        <v>60</v>
      </c>
      <c r="AF302" s="159" t="s">
        <v>61</v>
      </c>
      <c r="AG302" s="159" t="s">
        <v>62</v>
      </c>
      <c r="AH302" s="159" t="s">
        <v>63</v>
      </c>
      <c r="AI302" s="159" t="s">
        <v>64</v>
      </c>
      <c r="AJ302" s="159" t="s">
        <v>64</v>
      </c>
      <c r="AK302" s="197" t="s">
        <v>64</v>
      </c>
    </row>
    <row r="303" spans="1:41" ht="84.75" customHeight="1" thickBot="1" x14ac:dyDescent="0.25">
      <c r="A303" s="1"/>
      <c r="B303" s="196" t="s">
        <v>42</v>
      </c>
      <c r="C303" s="143">
        <v>1320</v>
      </c>
      <c r="D303" s="143" t="s">
        <v>150</v>
      </c>
      <c r="E303" s="143" t="s">
        <v>44</v>
      </c>
      <c r="F303" s="175" t="s">
        <v>123</v>
      </c>
      <c r="G303" s="175" t="s">
        <v>124</v>
      </c>
      <c r="H303" s="175" t="s">
        <v>883</v>
      </c>
      <c r="I303" s="176">
        <v>326464350</v>
      </c>
      <c r="J303" s="177" t="s">
        <v>575</v>
      </c>
      <c r="K303" s="177" t="s">
        <v>48</v>
      </c>
      <c r="L303" s="178" t="s">
        <v>884</v>
      </c>
      <c r="M303" s="143">
        <v>76111500</v>
      </c>
      <c r="N303" s="145" t="str">
        <f t="shared" si="28"/>
        <v>Adicionar el contrato de prestación de servicios No 004 de 2023, cuyo objeto es "Contratar el servicio de aseo y cafetería para la Universidad Pedagógica Nacional"</v>
      </c>
      <c r="O303" s="146">
        <v>1</v>
      </c>
      <c r="P303" s="146">
        <v>1</v>
      </c>
      <c r="Q303" s="147">
        <v>11</v>
      </c>
      <c r="R303" s="148" t="s">
        <v>51</v>
      </c>
      <c r="S303" s="149" t="s">
        <v>286</v>
      </c>
      <c r="T303" s="150" t="s">
        <v>53</v>
      </c>
      <c r="U303" s="151">
        <f t="shared" si="26"/>
        <v>326464350</v>
      </c>
      <c r="V303" s="152">
        <f t="shared" si="27"/>
        <v>326464350</v>
      </c>
      <c r="W303" s="153" t="s">
        <v>54</v>
      </c>
      <c r="X303" s="153" t="s">
        <v>55</v>
      </c>
      <c r="Y303" s="154" t="s">
        <v>56</v>
      </c>
      <c r="Z303" s="155" t="s">
        <v>57</v>
      </c>
      <c r="AA303" s="156" t="s">
        <v>42</v>
      </c>
      <c r="AB303" s="157" t="s">
        <v>58</v>
      </c>
      <c r="AC303" s="158" t="s">
        <v>59</v>
      </c>
      <c r="AD303" s="153" t="s">
        <v>54</v>
      </c>
      <c r="AE303" s="153" t="s">
        <v>60</v>
      </c>
      <c r="AF303" s="159" t="s">
        <v>61</v>
      </c>
      <c r="AG303" s="159" t="s">
        <v>62</v>
      </c>
      <c r="AH303" s="159" t="s">
        <v>63</v>
      </c>
      <c r="AI303" s="159" t="s">
        <v>64</v>
      </c>
      <c r="AJ303" s="159" t="s">
        <v>64</v>
      </c>
      <c r="AK303" s="197" t="s">
        <v>64</v>
      </c>
    </row>
    <row r="304" spans="1:41" ht="84.75" customHeight="1" thickBot="1" x14ac:dyDescent="0.25">
      <c r="A304" s="1"/>
      <c r="B304" s="196" t="s">
        <v>240</v>
      </c>
      <c r="C304" s="143">
        <v>1327</v>
      </c>
      <c r="D304" s="143" t="s">
        <v>300</v>
      </c>
      <c r="E304" s="143" t="s">
        <v>301</v>
      </c>
      <c r="F304" s="175" t="s">
        <v>81</v>
      </c>
      <c r="G304" s="175" t="s">
        <v>82</v>
      </c>
      <c r="H304" s="175" t="s">
        <v>885</v>
      </c>
      <c r="I304" s="176">
        <v>45000000</v>
      </c>
      <c r="J304" s="177" t="s">
        <v>244</v>
      </c>
      <c r="K304" s="177" t="s">
        <v>48</v>
      </c>
      <c r="L304" s="178" t="s">
        <v>886</v>
      </c>
      <c r="M304" s="143" t="s">
        <v>887</v>
      </c>
      <c r="N304" s="145" t="str">
        <f t="shared" si="28"/>
        <v>Adquirir equipos para grabación y sus accesorios para la Subdirección de Recursos Educativos de la Universidad Pedagógica Nacional</v>
      </c>
      <c r="O304" s="146">
        <v>1</v>
      </c>
      <c r="P304" s="146">
        <v>1</v>
      </c>
      <c r="Q304" s="147">
        <v>11</v>
      </c>
      <c r="R304" s="148" t="s">
        <v>51</v>
      </c>
      <c r="S304" s="149" t="s">
        <v>286</v>
      </c>
      <c r="T304" s="150" t="s">
        <v>53</v>
      </c>
      <c r="U304" s="151">
        <f t="shared" si="26"/>
        <v>45000000</v>
      </c>
      <c r="V304" s="152">
        <f t="shared" si="27"/>
        <v>45000000</v>
      </c>
      <c r="W304" s="153" t="s">
        <v>54</v>
      </c>
      <c r="X304" s="153" t="s">
        <v>55</v>
      </c>
      <c r="Y304" s="154" t="s">
        <v>56</v>
      </c>
      <c r="Z304" s="155" t="s">
        <v>57</v>
      </c>
      <c r="AA304" s="156" t="s">
        <v>240</v>
      </c>
      <c r="AB304" s="157" t="s">
        <v>58</v>
      </c>
      <c r="AC304" s="158" t="s">
        <v>59</v>
      </c>
      <c r="AD304" s="153" t="s">
        <v>54</v>
      </c>
      <c r="AE304" s="153" t="s">
        <v>60</v>
      </c>
      <c r="AF304" s="159" t="s">
        <v>61</v>
      </c>
      <c r="AG304" s="159" t="s">
        <v>62</v>
      </c>
      <c r="AH304" s="159" t="s">
        <v>63</v>
      </c>
      <c r="AI304" s="159" t="s">
        <v>64</v>
      </c>
      <c r="AJ304" s="159" t="s">
        <v>64</v>
      </c>
      <c r="AK304" s="197" t="s">
        <v>64</v>
      </c>
    </row>
    <row r="305" spans="1:41" ht="84.75" customHeight="1" thickBot="1" x14ac:dyDescent="0.25">
      <c r="A305" s="1"/>
      <c r="B305" s="196" t="s">
        <v>42</v>
      </c>
      <c r="C305" s="143">
        <v>1450</v>
      </c>
      <c r="D305" s="143" t="s">
        <v>736</v>
      </c>
      <c r="E305" s="143" t="s">
        <v>132</v>
      </c>
      <c r="F305" s="175" t="s">
        <v>111</v>
      </c>
      <c r="G305" s="175" t="s">
        <v>112</v>
      </c>
      <c r="H305" s="175" t="s">
        <v>888</v>
      </c>
      <c r="I305" s="176">
        <v>3610800</v>
      </c>
      <c r="J305" s="177" t="s">
        <v>48</v>
      </c>
      <c r="K305" s="177" t="s">
        <v>48</v>
      </c>
      <c r="L305" s="178" t="s">
        <v>639</v>
      </c>
      <c r="M305" s="143" t="s">
        <v>50</v>
      </c>
      <c r="N305" s="143" t="s">
        <v>888</v>
      </c>
      <c r="O305" s="146">
        <v>1</v>
      </c>
      <c r="P305" s="146">
        <v>1</v>
      </c>
      <c r="Q305" s="147">
        <v>11</v>
      </c>
      <c r="R305" s="148" t="s">
        <v>51</v>
      </c>
      <c r="S305" s="149" t="s">
        <v>281</v>
      </c>
      <c r="T305" s="150" t="s">
        <v>53</v>
      </c>
      <c r="U305" s="151">
        <f t="shared" si="26"/>
        <v>3610800</v>
      </c>
      <c r="V305" s="152">
        <f t="shared" si="27"/>
        <v>3610800</v>
      </c>
      <c r="W305" s="153" t="s">
        <v>54</v>
      </c>
      <c r="X305" s="153" t="s">
        <v>55</v>
      </c>
      <c r="Y305" s="154" t="s">
        <v>56</v>
      </c>
      <c r="Z305" s="155" t="s">
        <v>57</v>
      </c>
      <c r="AA305" s="156" t="s">
        <v>42</v>
      </c>
      <c r="AB305" s="157" t="s">
        <v>58</v>
      </c>
      <c r="AC305" s="158" t="s">
        <v>59</v>
      </c>
      <c r="AD305" s="153" t="s">
        <v>54</v>
      </c>
      <c r="AE305" s="153" t="s">
        <v>60</v>
      </c>
      <c r="AF305" s="159" t="s">
        <v>61</v>
      </c>
      <c r="AG305" s="159" t="s">
        <v>62</v>
      </c>
      <c r="AH305" s="159" t="s">
        <v>63</v>
      </c>
      <c r="AI305" s="159" t="s">
        <v>64</v>
      </c>
      <c r="AJ305" s="159" t="s">
        <v>64</v>
      </c>
      <c r="AK305" s="197" t="s">
        <v>64</v>
      </c>
    </row>
    <row r="306" spans="1:41" ht="84.75" customHeight="1" thickBot="1" x14ac:dyDescent="0.25">
      <c r="A306" s="1"/>
      <c r="B306" s="196" t="s">
        <v>42</v>
      </c>
      <c r="C306" s="143">
        <v>1331</v>
      </c>
      <c r="D306" s="143" t="s">
        <v>67</v>
      </c>
      <c r="E306" s="143" t="s">
        <v>44</v>
      </c>
      <c r="F306" s="175" t="s">
        <v>117</v>
      </c>
      <c r="G306" s="175" t="s">
        <v>118</v>
      </c>
      <c r="H306" s="175" t="s">
        <v>889</v>
      </c>
      <c r="I306" s="176">
        <v>300000</v>
      </c>
      <c r="J306" s="177" t="s">
        <v>48</v>
      </c>
      <c r="K306" s="177" t="s">
        <v>48</v>
      </c>
      <c r="L306" s="178" t="s">
        <v>639</v>
      </c>
      <c r="M306" s="143" t="s">
        <v>50</v>
      </c>
      <c r="N306" s="143" t="s">
        <v>888</v>
      </c>
      <c r="O306" s="146">
        <v>1</v>
      </c>
      <c r="P306" s="146">
        <v>1</v>
      </c>
      <c r="Q306" s="147">
        <v>11</v>
      </c>
      <c r="R306" s="148" t="s">
        <v>51</v>
      </c>
      <c r="S306" s="149" t="s">
        <v>281</v>
      </c>
      <c r="T306" s="150" t="s">
        <v>53</v>
      </c>
      <c r="U306" s="151">
        <f t="shared" si="26"/>
        <v>300000</v>
      </c>
      <c r="V306" s="152">
        <f t="shared" si="27"/>
        <v>300000</v>
      </c>
      <c r="W306" s="153" t="s">
        <v>54</v>
      </c>
      <c r="X306" s="153" t="s">
        <v>55</v>
      </c>
      <c r="Y306" s="154" t="s">
        <v>56</v>
      </c>
      <c r="Z306" s="155" t="s">
        <v>57</v>
      </c>
      <c r="AA306" s="156" t="s">
        <v>42</v>
      </c>
      <c r="AB306" s="157" t="s">
        <v>58</v>
      </c>
      <c r="AC306" s="158" t="s">
        <v>59</v>
      </c>
      <c r="AD306" s="153" t="s">
        <v>54</v>
      </c>
      <c r="AE306" s="153" t="s">
        <v>60</v>
      </c>
      <c r="AF306" s="159" t="s">
        <v>61</v>
      </c>
      <c r="AG306" s="159" t="s">
        <v>62</v>
      </c>
      <c r="AH306" s="159" t="s">
        <v>63</v>
      </c>
      <c r="AI306" s="159" t="s">
        <v>64</v>
      </c>
      <c r="AJ306" s="159" t="s">
        <v>64</v>
      </c>
      <c r="AK306" s="197" t="s">
        <v>64</v>
      </c>
    </row>
    <row r="307" spans="1:41" ht="84.75" customHeight="1" thickBot="1" x14ac:dyDescent="0.25">
      <c r="A307" s="1"/>
      <c r="B307" s="196" t="s">
        <v>42</v>
      </c>
      <c r="C307" s="143">
        <v>1450</v>
      </c>
      <c r="D307" s="143" t="s">
        <v>736</v>
      </c>
      <c r="E307" s="143" t="s">
        <v>132</v>
      </c>
      <c r="F307" s="175" t="s">
        <v>120</v>
      </c>
      <c r="G307" s="175" t="s">
        <v>121</v>
      </c>
      <c r="H307" s="175" t="s">
        <v>888</v>
      </c>
      <c r="I307" s="176">
        <v>1700000</v>
      </c>
      <c r="J307" s="177" t="s">
        <v>48</v>
      </c>
      <c r="K307" s="177" t="s">
        <v>48</v>
      </c>
      <c r="L307" s="178" t="s">
        <v>639</v>
      </c>
      <c r="M307" s="143" t="s">
        <v>50</v>
      </c>
      <c r="N307" s="143" t="s">
        <v>888</v>
      </c>
      <c r="O307" s="146">
        <v>1</v>
      </c>
      <c r="P307" s="146">
        <v>1</v>
      </c>
      <c r="Q307" s="147">
        <v>11</v>
      </c>
      <c r="R307" s="148" t="s">
        <v>51</v>
      </c>
      <c r="S307" s="149" t="s">
        <v>281</v>
      </c>
      <c r="T307" s="150" t="s">
        <v>53</v>
      </c>
      <c r="U307" s="151">
        <f t="shared" si="26"/>
        <v>1700000</v>
      </c>
      <c r="V307" s="152">
        <f t="shared" si="27"/>
        <v>1700000</v>
      </c>
      <c r="W307" s="153" t="s">
        <v>54</v>
      </c>
      <c r="X307" s="153" t="s">
        <v>55</v>
      </c>
      <c r="Y307" s="154" t="s">
        <v>56</v>
      </c>
      <c r="Z307" s="155" t="s">
        <v>57</v>
      </c>
      <c r="AA307" s="156" t="s">
        <v>42</v>
      </c>
      <c r="AB307" s="157" t="s">
        <v>58</v>
      </c>
      <c r="AC307" s="158" t="s">
        <v>59</v>
      </c>
      <c r="AD307" s="153" t="s">
        <v>54</v>
      </c>
      <c r="AE307" s="153" t="s">
        <v>60</v>
      </c>
      <c r="AF307" s="159" t="s">
        <v>61</v>
      </c>
      <c r="AG307" s="159" t="s">
        <v>62</v>
      </c>
      <c r="AH307" s="159" t="s">
        <v>63</v>
      </c>
      <c r="AI307" s="159" t="s">
        <v>64</v>
      </c>
      <c r="AJ307" s="159" t="s">
        <v>64</v>
      </c>
      <c r="AK307" s="197" t="s">
        <v>64</v>
      </c>
    </row>
    <row r="308" spans="1:41" s="34" customFormat="1" ht="84.75" customHeight="1" thickBot="1" x14ac:dyDescent="0.25">
      <c r="A308" s="1"/>
      <c r="B308" s="196" t="s">
        <v>42</v>
      </c>
      <c r="C308" s="143">
        <v>1331</v>
      </c>
      <c r="D308" s="143" t="s">
        <v>890</v>
      </c>
      <c r="E308" s="143" t="s">
        <v>204</v>
      </c>
      <c r="F308" s="175" t="s">
        <v>126</v>
      </c>
      <c r="G308" s="175" t="s">
        <v>127</v>
      </c>
      <c r="H308" s="175" t="s">
        <v>47</v>
      </c>
      <c r="I308" s="176">
        <v>10000000</v>
      </c>
      <c r="J308" s="177" t="s">
        <v>48</v>
      </c>
      <c r="K308" s="177" t="s">
        <v>48</v>
      </c>
      <c r="L308" s="178" t="s">
        <v>70</v>
      </c>
      <c r="M308" s="143" t="s">
        <v>50</v>
      </c>
      <c r="N308" s="145" t="str">
        <f t="shared" ref="N308:N314" si="32">H308</f>
        <v>Gastos por Caja Menor</v>
      </c>
      <c r="O308" s="146">
        <v>1</v>
      </c>
      <c r="P308" s="146">
        <v>1</v>
      </c>
      <c r="Q308" s="147">
        <v>11</v>
      </c>
      <c r="R308" s="148" t="s">
        <v>51</v>
      </c>
      <c r="S308" s="149" t="s">
        <v>605</v>
      </c>
      <c r="T308" s="150" t="s">
        <v>53</v>
      </c>
      <c r="U308" s="151">
        <f t="shared" si="26"/>
        <v>10000000</v>
      </c>
      <c r="V308" s="152">
        <f t="shared" si="27"/>
        <v>10000000</v>
      </c>
      <c r="W308" s="153" t="s">
        <v>54</v>
      </c>
      <c r="X308" s="153" t="s">
        <v>55</v>
      </c>
      <c r="Y308" s="154" t="s">
        <v>56</v>
      </c>
      <c r="Z308" s="155" t="s">
        <v>57</v>
      </c>
      <c r="AA308" s="156" t="s">
        <v>42</v>
      </c>
      <c r="AB308" s="157" t="s">
        <v>58</v>
      </c>
      <c r="AC308" s="158" t="s">
        <v>59</v>
      </c>
      <c r="AD308" s="153" t="s">
        <v>54</v>
      </c>
      <c r="AE308" s="153" t="s">
        <v>60</v>
      </c>
      <c r="AF308" s="159" t="s">
        <v>61</v>
      </c>
      <c r="AG308" s="159" t="s">
        <v>62</v>
      </c>
      <c r="AH308" s="159" t="s">
        <v>63</v>
      </c>
      <c r="AI308" s="159" t="s">
        <v>64</v>
      </c>
      <c r="AJ308" s="159" t="s">
        <v>64</v>
      </c>
      <c r="AK308" s="197" t="s">
        <v>64</v>
      </c>
      <c r="AL308" s="29"/>
      <c r="AM308" s="29"/>
      <c r="AN308" s="29"/>
      <c r="AO308" s="29"/>
    </row>
    <row r="309" spans="1:41" ht="84.75" customHeight="1" thickBot="1" x14ac:dyDescent="0.25">
      <c r="A309" s="1"/>
      <c r="B309" s="196" t="s">
        <v>42</v>
      </c>
      <c r="C309" s="143">
        <v>1331</v>
      </c>
      <c r="D309" s="143" t="s">
        <v>67</v>
      </c>
      <c r="E309" s="143" t="s">
        <v>44</v>
      </c>
      <c r="F309" s="175" t="s">
        <v>160</v>
      </c>
      <c r="G309" s="175" t="s">
        <v>891</v>
      </c>
      <c r="H309" s="175" t="s">
        <v>47</v>
      </c>
      <c r="I309" s="176">
        <v>5000000</v>
      </c>
      <c r="J309" s="177" t="s">
        <v>48</v>
      </c>
      <c r="K309" s="177" t="s">
        <v>48</v>
      </c>
      <c r="L309" s="178" t="s">
        <v>70</v>
      </c>
      <c r="M309" s="143" t="s">
        <v>50</v>
      </c>
      <c r="N309" s="145" t="str">
        <f t="shared" si="32"/>
        <v>Gastos por Caja Menor</v>
      </c>
      <c r="O309" s="146">
        <v>1</v>
      </c>
      <c r="P309" s="146">
        <v>1</v>
      </c>
      <c r="Q309" s="147">
        <v>11</v>
      </c>
      <c r="R309" s="148" t="s">
        <v>51</v>
      </c>
      <c r="S309" s="149" t="s">
        <v>110</v>
      </c>
      <c r="T309" s="150" t="s">
        <v>53</v>
      </c>
      <c r="U309" s="151">
        <f t="shared" si="26"/>
        <v>5000000</v>
      </c>
      <c r="V309" s="152">
        <f t="shared" si="27"/>
        <v>5000000</v>
      </c>
      <c r="W309" s="153" t="s">
        <v>54</v>
      </c>
      <c r="X309" s="153" t="s">
        <v>55</v>
      </c>
      <c r="Y309" s="154" t="s">
        <v>56</v>
      </c>
      <c r="Z309" s="155" t="s">
        <v>57</v>
      </c>
      <c r="AA309" s="156" t="s">
        <v>42</v>
      </c>
      <c r="AB309" s="157" t="s">
        <v>58</v>
      </c>
      <c r="AC309" s="158" t="s">
        <v>59</v>
      </c>
      <c r="AD309" s="153" t="s">
        <v>54</v>
      </c>
      <c r="AE309" s="153" t="s">
        <v>60</v>
      </c>
      <c r="AF309" s="159" t="s">
        <v>61</v>
      </c>
      <c r="AG309" s="159" t="s">
        <v>62</v>
      </c>
      <c r="AH309" s="159" t="s">
        <v>63</v>
      </c>
      <c r="AI309" s="159" t="s">
        <v>64</v>
      </c>
      <c r="AJ309" s="159" t="s">
        <v>64</v>
      </c>
      <c r="AK309" s="197" t="s">
        <v>64</v>
      </c>
    </row>
    <row r="310" spans="1:41" ht="84.75" customHeight="1" thickBot="1" x14ac:dyDescent="0.25">
      <c r="A310" s="1"/>
      <c r="B310" s="196" t="s">
        <v>42</v>
      </c>
      <c r="C310" s="143">
        <v>1331</v>
      </c>
      <c r="D310" s="143" t="s">
        <v>67</v>
      </c>
      <c r="E310" s="143" t="s">
        <v>44</v>
      </c>
      <c r="F310" s="175" t="s">
        <v>255</v>
      </c>
      <c r="G310" s="175" t="s">
        <v>256</v>
      </c>
      <c r="H310" s="175" t="s">
        <v>47</v>
      </c>
      <c r="I310" s="176">
        <v>4000000</v>
      </c>
      <c r="J310" s="177" t="s">
        <v>48</v>
      </c>
      <c r="K310" s="177" t="s">
        <v>48</v>
      </c>
      <c r="L310" s="178" t="s">
        <v>70</v>
      </c>
      <c r="M310" s="143" t="s">
        <v>50</v>
      </c>
      <c r="N310" s="145" t="str">
        <f t="shared" si="32"/>
        <v>Gastos por Caja Menor</v>
      </c>
      <c r="O310" s="146">
        <v>1</v>
      </c>
      <c r="P310" s="146">
        <v>1</v>
      </c>
      <c r="Q310" s="147">
        <v>11</v>
      </c>
      <c r="R310" s="148" t="s">
        <v>51</v>
      </c>
      <c r="S310" s="149" t="s">
        <v>110</v>
      </c>
      <c r="T310" s="150" t="s">
        <v>53</v>
      </c>
      <c r="U310" s="151">
        <f t="shared" si="26"/>
        <v>4000000</v>
      </c>
      <c r="V310" s="152">
        <f t="shared" si="27"/>
        <v>4000000</v>
      </c>
      <c r="W310" s="153" t="s">
        <v>54</v>
      </c>
      <c r="X310" s="153" t="s">
        <v>55</v>
      </c>
      <c r="Y310" s="154" t="s">
        <v>56</v>
      </c>
      <c r="Z310" s="155" t="s">
        <v>57</v>
      </c>
      <c r="AA310" s="156" t="s">
        <v>42</v>
      </c>
      <c r="AB310" s="157" t="s">
        <v>58</v>
      </c>
      <c r="AC310" s="158" t="s">
        <v>59</v>
      </c>
      <c r="AD310" s="153" t="s">
        <v>54</v>
      </c>
      <c r="AE310" s="153" t="s">
        <v>60</v>
      </c>
      <c r="AF310" s="159" t="s">
        <v>61</v>
      </c>
      <c r="AG310" s="159" t="s">
        <v>62</v>
      </c>
      <c r="AH310" s="159" t="s">
        <v>63</v>
      </c>
      <c r="AI310" s="159" t="s">
        <v>64</v>
      </c>
      <c r="AJ310" s="159" t="s">
        <v>64</v>
      </c>
      <c r="AK310" s="197" t="s">
        <v>64</v>
      </c>
    </row>
    <row r="311" spans="1:41" s="34" customFormat="1" ht="84.75" customHeight="1" thickBot="1" x14ac:dyDescent="0.25">
      <c r="A311" s="1"/>
      <c r="B311" s="196" t="s">
        <v>42</v>
      </c>
      <c r="C311" s="143">
        <v>1331</v>
      </c>
      <c r="D311" s="143" t="s">
        <v>67</v>
      </c>
      <c r="E311" s="143" t="s">
        <v>44</v>
      </c>
      <c r="F311" s="175" t="s">
        <v>1178</v>
      </c>
      <c r="G311" s="175" t="s">
        <v>460</v>
      </c>
      <c r="H311" s="175" t="s">
        <v>47</v>
      </c>
      <c r="I311" s="176">
        <v>7000000</v>
      </c>
      <c r="J311" s="177" t="s">
        <v>48</v>
      </c>
      <c r="K311" s="177" t="s">
        <v>48</v>
      </c>
      <c r="L311" s="178" t="s">
        <v>70</v>
      </c>
      <c r="M311" s="143" t="s">
        <v>50</v>
      </c>
      <c r="N311" s="145" t="str">
        <f t="shared" si="32"/>
        <v>Gastos por Caja Menor</v>
      </c>
      <c r="O311" s="146">
        <v>1</v>
      </c>
      <c r="P311" s="146">
        <v>1</v>
      </c>
      <c r="Q311" s="147">
        <v>11</v>
      </c>
      <c r="R311" s="148" t="s">
        <v>51</v>
      </c>
      <c r="S311" s="149" t="s">
        <v>110</v>
      </c>
      <c r="T311" s="150"/>
      <c r="U311" s="151">
        <f t="shared" si="26"/>
        <v>7000000</v>
      </c>
      <c r="V311" s="152">
        <f t="shared" si="27"/>
        <v>7000000</v>
      </c>
      <c r="W311" s="153" t="s">
        <v>54</v>
      </c>
      <c r="X311" s="153" t="s">
        <v>55</v>
      </c>
      <c r="Y311" s="154" t="s">
        <v>56</v>
      </c>
      <c r="Z311" s="155" t="s">
        <v>57</v>
      </c>
      <c r="AA311" s="156" t="s">
        <v>42</v>
      </c>
      <c r="AB311" s="157" t="s">
        <v>58</v>
      </c>
      <c r="AC311" s="158" t="s">
        <v>59</v>
      </c>
      <c r="AD311" s="153" t="s">
        <v>54</v>
      </c>
      <c r="AE311" s="153" t="s">
        <v>60</v>
      </c>
      <c r="AF311" s="159" t="s">
        <v>61</v>
      </c>
      <c r="AG311" s="159" t="s">
        <v>62</v>
      </c>
      <c r="AH311" s="159" t="s">
        <v>63</v>
      </c>
      <c r="AI311" s="159" t="s">
        <v>64</v>
      </c>
      <c r="AJ311" s="159" t="s">
        <v>64</v>
      </c>
      <c r="AK311" s="197" t="s">
        <v>64</v>
      </c>
      <c r="AL311" s="29"/>
      <c r="AM311" s="29"/>
      <c r="AN311" s="29"/>
      <c r="AO311" s="29"/>
    </row>
    <row r="312" spans="1:41" ht="84.75" customHeight="1" thickBot="1" x14ac:dyDescent="0.25">
      <c r="A312" s="1"/>
      <c r="B312" s="196" t="s">
        <v>42</v>
      </c>
      <c r="C312" s="143">
        <v>1320</v>
      </c>
      <c r="D312" s="143" t="s">
        <v>150</v>
      </c>
      <c r="E312" s="143" t="s">
        <v>44</v>
      </c>
      <c r="F312" s="175" t="s">
        <v>72</v>
      </c>
      <c r="G312" s="175" t="s">
        <v>892</v>
      </c>
      <c r="H312" s="175" t="s">
        <v>893</v>
      </c>
      <c r="I312" s="176">
        <v>15000000</v>
      </c>
      <c r="J312" s="177" t="s">
        <v>48</v>
      </c>
      <c r="K312" s="177" t="s">
        <v>48</v>
      </c>
      <c r="L312" s="178" t="s">
        <v>894</v>
      </c>
      <c r="M312" s="143" t="s">
        <v>50</v>
      </c>
      <c r="N312" s="145" t="str">
        <f t="shared" si="32"/>
        <v>Amparar la compra de una picadora y sus accesorios, así como el menaje para el servicio del restaurante para estudiantes en las instalaciones de la calle 72 de la Universidad Pedagógica Nacional.</v>
      </c>
      <c r="O312" s="146">
        <v>1</v>
      </c>
      <c r="P312" s="146">
        <v>1</v>
      </c>
      <c r="Q312" s="147">
        <v>11</v>
      </c>
      <c r="R312" s="148" t="s">
        <v>51</v>
      </c>
      <c r="S312" s="149" t="s">
        <v>286</v>
      </c>
      <c r="T312" s="150" t="s">
        <v>53</v>
      </c>
      <c r="U312" s="151">
        <f t="shared" si="26"/>
        <v>15000000</v>
      </c>
      <c r="V312" s="152">
        <f t="shared" si="27"/>
        <v>15000000</v>
      </c>
      <c r="W312" s="153" t="s">
        <v>54</v>
      </c>
      <c r="X312" s="153" t="s">
        <v>55</v>
      </c>
      <c r="Y312" s="154" t="s">
        <v>56</v>
      </c>
      <c r="Z312" s="155" t="s">
        <v>57</v>
      </c>
      <c r="AA312" s="156" t="s">
        <v>42</v>
      </c>
      <c r="AB312" s="157" t="s">
        <v>58</v>
      </c>
      <c r="AC312" s="158" t="s">
        <v>59</v>
      </c>
      <c r="AD312" s="153" t="s">
        <v>54</v>
      </c>
      <c r="AE312" s="153" t="s">
        <v>60</v>
      </c>
      <c r="AF312" s="159" t="s">
        <v>61</v>
      </c>
      <c r="AG312" s="159" t="s">
        <v>62</v>
      </c>
      <c r="AH312" s="159" t="s">
        <v>63</v>
      </c>
      <c r="AI312" s="159" t="s">
        <v>64</v>
      </c>
      <c r="AJ312" s="159" t="s">
        <v>64</v>
      </c>
      <c r="AK312" s="197" t="s">
        <v>64</v>
      </c>
    </row>
    <row r="313" spans="1:41" ht="84.75" customHeight="1" thickBot="1" x14ac:dyDescent="0.25">
      <c r="A313" s="1"/>
      <c r="B313" s="196" t="s">
        <v>42</v>
      </c>
      <c r="C313" s="143">
        <v>1320</v>
      </c>
      <c r="D313" s="143" t="s">
        <v>150</v>
      </c>
      <c r="E313" s="143" t="s">
        <v>44</v>
      </c>
      <c r="F313" s="175" t="s">
        <v>111</v>
      </c>
      <c r="G313" s="175" t="s">
        <v>112</v>
      </c>
      <c r="H313" s="175" t="s">
        <v>893</v>
      </c>
      <c r="I313" s="176">
        <v>5384000</v>
      </c>
      <c r="J313" s="177" t="s">
        <v>54</v>
      </c>
      <c r="K313" s="177" t="s">
        <v>48</v>
      </c>
      <c r="L313" s="178" t="s">
        <v>894</v>
      </c>
      <c r="M313" s="143" t="s">
        <v>50</v>
      </c>
      <c r="N313" s="145" t="str">
        <f t="shared" si="32"/>
        <v>Amparar la compra de una picadora y sus accesorios, así como el menaje para el servicio del restaurante para estudiantes en las instalaciones de la calle 72 de la Universidad Pedagógica Nacional.</v>
      </c>
      <c r="O313" s="146">
        <v>1</v>
      </c>
      <c r="P313" s="146">
        <v>1</v>
      </c>
      <c r="Q313" s="147">
        <v>11</v>
      </c>
      <c r="R313" s="148" t="s">
        <v>51</v>
      </c>
      <c r="S313" s="149" t="s">
        <v>286</v>
      </c>
      <c r="T313" s="150" t="s">
        <v>53</v>
      </c>
      <c r="U313" s="151">
        <f t="shared" si="26"/>
        <v>5384000</v>
      </c>
      <c r="V313" s="152">
        <f t="shared" si="27"/>
        <v>5384000</v>
      </c>
      <c r="W313" s="153" t="s">
        <v>54</v>
      </c>
      <c r="X313" s="153" t="s">
        <v>55</v>
      </c>
      <c r="Y313" s="154" t="s">
        <v>56</v>
      </c>
      <c r="Z313" s="155" t="s">
        <v>57</v>
      </c>
      <c r="AA313" s="156" t="s">
        <v>42</v>
      </c>
      <c r="AB313" s="157" t="s">
        <v>58</v>
      </c>
      <c r="AC313" s="158" t="s">
        <v>59</v>
      </c>
      <c r="AD313" s="153" t="s">
        <v>54</v>
      </c>
      <c r="AE313" s="153" t="s">
        <v>60</v>
      </c>
      <c r="AF313" s="159" t="s">
        <v>61</v>
      </c>
      <c r="AG313" s="159" t="s">
        <v>62</v>
      </c>
      <c r="AH313" s="159" t="s">
        <v>63</v>
      </c>
      <c r="AI313" s="159" t="s">
        <v>64</v>
      </c>
      <c r="AJ313" s="159" t="s">
        <v>64</v>
      </c>
      <c r="AK313" s="197" t="s">
        <v>64</v>
      </c>
    </row>
    <row r="314" spans="1:41" ht="84.75" customHeight="1" thickBot="1" x14ac:dyDescent="0.25">
      <c r="A314" s="1"/>
      <c r="B314" s="196" t="s">
        <v>42</v>
      </c>
      <c r="C314" s="143">
        <v>1320</v>
      </c>
      <c r="D314" s="143" t="s">
        <v>150</v>
      </c>
      <c r="E314" s="143" t="s">
        <v>44</v>
      </c>
      <c r="F314" s="175" t="s">
        <v>114</v>
      </c>
      <c r="G314" s="175" t="s">
        <v>115</v>
      </c>
      <c r="H314" s="175" t="s">
        <v>893</v>
      </c>
      <c r="I314" s="176">
        <v>2616000</v>
      </c>
      <c r="J314" s="177" t="s">
        <v>54</v>
      </c>
      <c r="K314" s="177" t="s">
        <v>48</v>
      </c>
      <c r="L314" s="178" t="s">
        <v>894</v>
      </c>
      <c r="M314" s="143" t="s">
        <v>50</v>
      </c>
      <c r="N314" s="145" t="str">
        <f t="shared" si="32"/>
        <v>Amparar la compra de una picadora y sus accesorios, así como el menaje para el servicio del restaurante para estudiantes en las instalaciones de la calle 72 de la Universidad Pedagógica Nacional.</v>
      </c>
      <c r="O314" s="146">
        <v>1</v>
      </c>
      <c r="P314" s="146">
        <v>1</v>
      </c>
      <c r="Q314" s="147">
        <v>11</v>
      </c>
      <c r="R314" s="148" t="s">
        <v>51</v>
      </c>
      <c r="S314" s="149" t="s">
        <v>286</v>
      </c>
      <c r="T314" s="150" t="s">
        <v>53</v>
      </c>
      <c r="U314" s="151">
        <f t="shared" si="26"/>
        <v>2616000</v>
      </c>
      <c r="V314" s="152">
        <f t="shared" si="27"/>
        <v>2616000</v>
      </c>
      <c r="W314" s="153" t="s">
        <v>54</v>
      </c>
      <c r="X314" s="153" t="s">
        <v>55</v>
      </c>
      <c r="Y314" s="154" t="s">
        <v>56</v>
      </c>
      <c r="Z314" s="155" t="s">
        <v>57</v>
      </c>
      <c r="AA314" s="156" t="s">
        <v>42</v>
      </c>
      <c r="AB314" s="157" t="s">
        <v>58</v>
      </c>
      <c r="AC314" s="158" t="s">
        <v>59</v>
      </c>
      <c r="AD314" s="153" t="s">
        <v>54</v>
      </c>
      <c r="AE314" s="153" t="s">
        <v>60</v>
      </c>
      <c r="AF314" s="159" t="s">
        <v>61</v>
      </c>
      <c r="AG314" s="159" t="s">
        <v>62</v>
      </c>
      <c r="AH314" s="159" t="s">
        <v>63</v>
      </c>
      <c r="AI314" s="159" t="s">
        <v>64</v>
      </c>
      <c r="AJ314" s="159" t="s">
        <v>64</v>
      </c>
      <c r="AK314" s="197" t="s">
        <v>64</v>
      </c>
    </row>
    <row r="315" spans="1:41" ht="84.75" customHeight="1" thickBot="1" x14ac:dyDescent="0.25">
      <c r="A315" s="1"/>
      <c r="B315" s="196" t="s">
        <v>42</v>
      </c>
      <c r="C315" s="143">
        <v>1420</v>
      </c>
      <c r="D315" s="143" t="s">
        <v>663</v>
      </c>
      <c r="E315" s="143" t="s">
        <v>132</v>
      </c>
      <c r="F315" s="175" t="s">
        <v>123</v>
      </c>
      <c r="G315" s="175" t="s">
        <v>345</v>
      </c>
      <c r="H315" s="175" t="s">
        <v>895</v>
      </c>
      <c r="I315" s="176">
        <v>41540031</v>
      </c>
      <c r="J315" s="177" t="s">
        <v>60</v>
      </c>
      <c r="K315" s="177" t="s">
        <v>48</v>
      </c>
      <c r="L315" s="178" t="s">
        <v>896</v>
      </c>
      <c r="M315" s="143">
        <v>85121800</v>
      </c>
      <c r="N315" s="145" t="s">
        <v>895</v>
      </c>
      <c r="O315" s="146">
        <v>1</v>
      </c>
      <c r="P315" s="146">
        <v>1</v>
      </c>
      <c r="Q315" s="147">
        <v>11</v>
      </c>
      <c r="R315" s="148" t="s">
        <v>51</v>
      </c>
      <c r="S315" s="149" t="s">
        <v>707</v>
      </c>
      <c r="T315" s="150" t="s">
        <v>53</v>
      </c>
      <c r="U315" s="151">
        <f t="shared" si="26"/>
        <v>41540031</v>
      </c>
      <c r="V315" s="152">
        <f t="shared" si="27"/>
        <v>41540031</v>
      </c>
      <c r="W315" s="153" t="s">
        <v>54</v>
      </c>
      <c r="X315" s="153" t="s">
        <v>55</v>
      </c>
      <c r="Y315" s="154" t="s">
        <v>56</v>
      </c>
      <c r="Z315" s="155" t="s">
        <v>57</v>
      </c>
      <c r="AA315" s="156" t="s">
        <v>42</v>
      </c>
      <c r="AB315" s="157" t="s">
        <v>58</v>
      </c>
      <c r="AC315" s="158" t="s">
        <v>59</v>
      </c>
      <c r="AD315" s="153" t="s">
        <v>54</v>
      </c>
      <c r="AE315" s="153" t="s">
        <v>60</v>
      </c>
      <c r="AF315" s="159" t="s">
        <v>61</v>
      </c>
      <c r="AG315" s="159" t="s">
        <v>62</v>
      </c>
      <c r="AH315" s="159" t="s">
        <v>63</v>
      </c>
      <c r="AI315" s="159" t="s">
        <v>64</v>
      </c>
      <c r="AJ315" s="159" t="s">
        <v>64</v>
      </c>
      <c r="AK315" s="197" t="s">
        <v>64</v>
      </c>
    </row>
    <row r="316" spans="1:41" ht="84.75" customHeight="1" thickBot="1" x14ac:dyDescent="0.25">
      <c r="A316" s="1"/>
      <c r="B316" s="196" t="s">
        <v>42</v>
      </c>
      <c r="C316" s="143">
        <v>1321</v>
      </c>
      <c r="D316" s="143" t="s">
        <v>140</v>
      </c>
      <c r="E316" s="143" t="s">
        <v>141</v>
      </c>
      <c r="F316" s="175" t="s">
        <v>120</v>
      </c>
      <c r="G316" s="175" t="s">
        <v>121</v>
      </c>
      <c r="H316" s="175" t="s">
        <v>897</v>
      </c>
      <c r="I316" s="176">
        <v>1975000</v>
      </c>
      <c r="J316" s="177" t="s">
        <v>48</v>
      </c>
      <c r="K316" s="177" t="s">
        <v>48</v>
      </c>
      <c r="L316" s="178" t="s">
        <v>143</v>
      </c>
      <c r="M316" s="143" t="s">
        <v>50</v>
      </c>
      <c r="N316" s="145" t="s">
        <v>897</v>
      </c>
      <c r="O316" s="146">
        <v>1</v>
      </c>
      <c r="P316" s="146">
        <v>1</v>
      </c>
      <c r="Q316" s="147">
        <v>11</v>
      </c>
      <c r="R316" s="148" t="s">
        <v>51</v>
      </c>
      <c r="S316" s="149" t="s">
        <v>144</v>
      </c>
      <c r="T316" s="150" t="s">
        <v>145</v>
      </c>
      <c r="U316" s="151">
        <f t="shared" si="26"/>
        <v>1975000</v>
      </c>
      <c r="V316" s="152">
        <f t="shared" si="27"/>
        <v>1975000</v>
      </c>
      <c r="W316" s="153" t="s">
        <v>54</v>
      </c>
      <c r="X316" s="153" t="s">
        <v>55</v>
      </c>
      <c r="Y316" s="154" t="s">
        <v>56</v>
      </c>
      <c r="Z316" s="155" t="s">
        <v>57</v>
      </c>
      <c r="AA316" s="156" t="s">
        <v>42</v>
      </c>
      <c r="AB316" s="157" t="s">
        <v>58</v>
      </c>
      <c r="AC316" s="158" t="s">
        <v>59</v>
      </c>
      <c r="AD316" s="153" t="s">
        <v>54</v>
      </c>
      <c r="AE316" s="153" t="s">
        <v>60</v>
      </c>
      <c r="AF316" s="159" t="s">
        <v>61</v>
      </c>
      <c r="AG316" s="159" t="s">
        <v>62</v>
      </c>
      <c r="AH316" s="159" t="s">
        <v>63</v>
      </c>
      <c r="AI316" s="159" t="s">
        <v>64</v>
      </c>
      <c r="AJ316" s="159" t="s">
        <v>64</v>
      </c>
      <c r="AK316" s="197" t="s">
        <v>64</v>
      </c>
    </row>
    <row r="317" spans="1:41" s="18" customFormat="1" ht="84.75" customHeight="1" thickBot="1" x14ac:dyDescent="0.25">
      <c r="A317" s="1"/>
      <c r="B317" s="196" t="s">
        <v>42</v>
      </c>
      <c r="C317" s="143">
        <v>1320</v>
      </c>
      <c r="D317" s="143" t="s">
        <v>150</v>
      </c>
      <c r="E317" s="143" t="s">
        <v>44</v>
      </c>
      <c r="F317" s="175" t="s">
        <v>120</v>
      </c>
      <c r="G317" s="175" t="s">
        <v>121</v>
      </c>
      <c r="H317" s="175" t="s">
        <v>898</v>
      </c>
      <c r="I317" s="176">
        <v>372404248</v>
      </c>
      <c r="J317" s="177" t="s">
        <v>575</v>
      </c>
      <c r="K317" s="177" t="s">
        <v>48</v>
      </c>
      <c r="L317" s="178" t="s">
        <v>510</v>
      </c>
      <c r="M317" s="143" t="s">
        <v>50</v>
      </c>
      <c r="N317" s="145" t="s">
        <v>899</v>
      </c>
      <c r="O317" s="146">
        <v>3</v>
      </c>
      <c r="P317" s="146">
        <v>9</v>
      </c>
      <c r="Q317" s="147">
        <v>9</v>
      </c>
      <c r="R317" s="148" t="s">
        <v>51</v>
      </c>
      <c r="S317" s="149" t="s">
        <v>511</v>
      </c>
      <c r="T317" s="150" t="s">
        <v>282</v>
      </c>
      <c r="U317" s="151">
        <f t="shared" si="26"/>
        <v>372404248</v>
      </c>
      <c r="V317" s="152">
        <f t="shared" si="27"/>
        <v>372404248</v>
      </c>
      <c r="W317" s="153" t="s">
        <v>54</v>
      </c>
      <c r="X317" s="153" t="s">
        <v>55</v>
      </c>
      <c r="Y317" s="154" t="s">
        <v>56</v>
      </c>
      <c r="Z317" s="155" t="s">
        <v>57</v>
      </c>
      <c r="AA317" s="156" t="s">
        <v>42</v>
      </c>
      <c r="AB317" s="157" t="s">
        <v>58</v>
      </c>
      <c r="AC317" s="158" t="s">
        <v>59</v>
      </c>
      <c r="AD317" s="153" t="s">
        <v>54</v>
      </c>
      <c r="AE317" s="153" t="s">
        <v>60</v>
      </c>
      <c r="AF317" s="159" t="s">
        <v>61</v>
      </c>
      <c r="AG317" s="159" t="s">
        <v>62</v>
      </c>
      <c r="AH317" s="159" t="s">
        <v>63</v>
      </c>
      <c r="AI317" s="159" t="s">
        <v>64</v>
      </c>
      <c r="AJ317" s="159" t="s">
        <v>64</v>
      </c>
      <c r="AK317" s="197" t="s">
        <v>64</v>
      </c>
      <c r="AL317" s="29"/>
      <c r="AM317" s="29"/>
      <c r="AN317" s="29"/>
      <c r="AO317" s="29"/>
    </row>
    <row r="318" spans="1:41" s="18" customFormat="1" ht="84.75" customHeight="1" thickBot="1" x14ac:dyDescent="0.25">
      <c r="A318" s="1"/>
      <c r="B318" s="196" t="s">
        <v>42</v>
      </c>
      <c r="C318" s="143">
        <v>1320</v>
      </c>
      <c r="D318" s="143" t="s">
        <v>150</v>
      </c>
      <c r="E318" s="143" t="s">
        <v>44</v>
      </c>
      <c r="F318" s="175" t="s">
        <v>120</v>
      </c>
      <c r="G318" s="175" t="s">
        <v>121</v>
      </c>
      <c r="H318" s="175" t="s">
        <v>900</v>
      </c>
      <c r="I318" s="176">
        <v>120424847</v>
      </c>
      <c r="J318" s="177" t="s">
        <v>575</v>
      </c>
      <c r="K318" s="177" t="s">
        <v>48</v>
      </c>
      <c r="L318" s="178" t="s">
        <v>510</v>
      </c>
      <c r="M318" s="143" t="s">
        <v>50</v>
      </c>
      <c r="N318" s="237" t="s">
        <v>899</v>
      </c>
      <c r="O318" s="146">
        <v>3</v>
      </c>
      <c r="P318" s="146">
        <v>9</v>
      </c>
      <c r="Q318" s="147">
        <v>9</v>
      </c>
      <c r="R318" s="148" t="s">
        <v>51</v>
      </c>
      <c r="S318" s="149" t="s">
        <v>511</v>
      </c>
      <c r="T318" s="150" t="s">
        <v>282</v>
      </c>
      <c r="U318" s="151">
        <f t="shared" ref="U318" si="33">+I318</f>
        <v>120424847</v>
      </c>
      <c r="V318" s="152">
        <f t="shared" ref="V318" si="34">+U318</f>
        <v>120424847</v>
      </c>
      <c r="W318" s="153" t="s">
        <v>54</v>
      </c>
      <c r="X318" s="153" t="s">
        <v>55</v>
      </c>
      <c r="Y318" s="154" t="s">
        <v>56</v>
      </c>
      <c r="Z318" s="155" t="s">
        <v>57</v>
      </c>
      <c r="AA318" s="156" t="s">
        <v>42</v>
      </c>
      <c r="AB318" s="157" t="s">
        <v>58</v>
      </c>
      <c r="AC318" s="158" t="s">
        <v>59</v>
      </c>
      <c r="AD318" s="153" t="s">
        <v>54</v>
      </c>
      <c r="AE318" s="153" t="s">
        <v>60</v>
      </c>
      <c r="AF318" s="159" t="s">
        <v>61</v>
      </c>
      <c r="AG318" s="159" t="s">
        <v>62</v>
      </c>
      <c r="AH318" s="159" t="s">
        <v>63</v>
      </c>
      <c r="AI318" s="159" t="s">
        <v>64</v>
      </c>
      <c r="AJ318" s="159" t="s">
        <v>64</v>
      </c>
      <c r="AK318" s="197" t="s">
        <v>64</v>
      </c>
      <c r="AL318" s="29"/>
      <c r="AM318" s="29"/>
      <c r="AN318" s="29"/>
      <c r="AO318" s="29"/>
    </row>
    <row r="319" spans="1:41" s="18" customFormat="1" ht="84.75" customHeight="1" thickBot="1" x14ac:dyDescent="0.25">
      <c r="A319" s="1"/>
      <c r="B319" s="196" t="s">
        <v>42</v>
      </c>
      <c r="C319" s="143">
        <v>1320</v>
      </c>
      <c r="D319" s="143" t="s">
        <v>150</v>
      </c>
      <c r="E319" s="143" t="s">
        <v>44</v>
      </c>
      <c r="F319" s="175" t="s">
        <v>120</v>
      </c>
      <c r="G319" s="175" t="s">
        <v>121</v>
      </c>
      <c r="H319" s="175" t="s">
        <v>900</v>
      </c>
      <c r="I319" s="176">
        <v>12418351</v>
      </c>
      <c r="J319" s="177" t="s">
        <v>575</v>
      </c>
      <c r="K319" s="177" t="s">
        <v>48</v>
      </c>
      <c r="L319" s="178" t="s">
        <v>510</v>
      </c>
      <c r="M319" s="143" t="s">
        <v>50</v>
      </c>
      <c r="N319" s="237"/>
      <c r="O319" s="146">
        <v>3</v>
      </c>
      <c r="P319" s="146">
        <v>9</v>
      </c>
      <c r="Q319" s="147">
        <v>9</v>
      </c>
      <c r="R319" s="148" t="s">
        <v>51</v>
      </c>
      <c r="S319" s="149" t="s">
        <v>511</v>
      </c>
      <c r="T319" s="150" t="s">
        <v>282</v>
      </c>
      <c r="U319" s="151">
        <f t="shared" si="26"/>
        <v>12418351</v>
      </c>
      <c r="V319" s="152">
        <f t="shared" si="27"/>
        <v>12418351</v>
      </c>
      <c r="W319" s="153" t="s">
        <v>54</v>
      </c>
      <c r="X319" s="153" t="s">
        <v>55</v>
      </c>
      <c r="Y319" s="154" t="s">
        <v>56</v>
      </c>
      <c r="Z319" s="155" t="s">
        <v>57</v>
      </c>
      <c r="AA319" s="156" t="s">
        <v>42</v>
      </c>
      <c r="AB319" s="157" t="s">
        <v>58</v>
      </c>
      <c r="AC319" s="158" t="s">
        <v>59</v>
      </c>
      <c r="AD319" s="153" t="s">
        <v>54</v>
      </c>
      <c r="AE319" s="153" t="s">
        <v>60</v>
      </c>
      <c r="AF319" s="159" t="s">
        <v>61</v>
      </c>
      <c r="AG319" s="159" t="s">
        <v>62</v>
      </c>
      <c r="AH319" s="159" t="s">
        <v>63</v>
      </c>
      <c r="AI319" s="159" t="s">
        <v>64</v>
      </c>
      <c r="AJ319" s="159" t="s">
        <v>64</v>
      </c>
      <c r="AK319" s="197" t="s">
        <v>64</v>
      </c>
      <c r="AL319" s="29"/>
      <c r="AM319" s="29"/>
      <c r="AN319" s="29"/>
      <c r="AO319" s="29"/>
    </row>
    <row r="320" spans="1:41" s="18" customFormat="1" ht="84.75" customHeight="1" thickBot="1" x14ac:dyDescent="0.25">
      <c r="A320" s="1"/>
      <c r="B320" s="196" t="s">
        <v>42</v>
      </c>
      <c r="C320" s="143">
        <v>1320</v>
      </c>
      <c r="D320" s="143" t="s">
        <v>150</v>
      </c>
      <c r="E320" s="143" t="s">
        <v>44</v>
      </c>
      <c r="F320" s="175" t="s">
        <v>120</v>
      </c>
      <c r="G320" s="175" t="s">
        <v>121</v>
      </c>
      <c r="H320" s="175" t="s">
        <v>901</v>
      </c>
      <c r="I320" s="176">
        <v>8568000</v>
      </c>
      <c r="J320" s="177" t="s">
        <v>575</v>
      </c>
      <c r="K320" s="177" t="s">
        <v>48</v>
      </c>
      <c r="L320" s="178" t="s">
        <v>510</v>
      </c>
      <c r="M320" s="143" t="s">
        <v>50</v>
      </c>
      <c r="N320" s="143" t="s">
        <v>901</v>
      </c>
      <c r="O320" s="146">
        <v>3</v>
      </c>
      <c r="P320" s="146">
        <v>9</v>
      </c>
      <c r="Q320" s="147">
        <v>9</v>
      </c>
      <c r="R320" s="148" t="s">
        <v>51</v>
      </c>
      <c r="S320" s="149" t="s">
        <v>511</v>
      </c>
      <c r="T320" s="150" t="s">
        <v>53</v>
      </c>
      <c r="U320" s="151">
        <f t="shared" si="26"/>
        <v>8568000</v>
      </c>
      <c r="V320" s="152">
        <f t="shared" si="27"/>
        <v>8568000</v>
      </c>
      <c r="W320" s="153" t="s">
        <v>54</v>
      </c>
      <c r="X320" s="153" t="s">
        <v>55</v>
      </c>
      <c r="Y320" s="154" t="s">
        <v>56</v>
      </c>
      <c r="Z320" s="155" t="s">
        <v>57</v>
      </c>
      <c r="AA320" s="156" t="s">
        <v>42</v>
      </c>
      <c r="AB320" s="157" t="s">
        <v>58</v>
      </c>
      <c r="AC320" s="158" t="s">
        <v>59</v>
      </c>
      <c r="AD320" s="153" t="s">
        <v>54</v>
      </c>
      <c r="AE320" s="153" t="s">
        <v>60</v>
      </c>
      <c r="AF320" s="159" t="s">
        <v>61</v>
      </c>
      <c r="AG320" s="159" t="s">
        <v>62</v>
      </c>
      <c r="AH320" s="159" t="s">
        <v>63</v>
      </c>
      <c r="AI320" s="159" t="s">
        <v>64</v>
      </c>
      <c r="AJ320" s="159" t="s">
        <v>64</v>
      </c>
      <c r="AK320" s="197" t="s">
        <v>64</v>
      </c>
      <c r="AL320" s="29"/>
      <c r="AM320" s="29"/>
      <c r="AN320" s="29"/>
      <c r="AO320" s="29"/>
    </row>
    <row r="321" spans="1:41" s="18" customFormat="1" ht="84.75" customHeight="1" thickBot="1" x14ac:dyDescent="0.25">
      <c r="A321" s="1"/>
      <c r="B321" s="196" t="s">
        <v>293</v>
      </c>
      <c r="C321" s="143">
        <v>1630</v>
      </c>
      <c r="D321" s="143" t="s">
        <v>817</v>
      </c>
      <c r="E321" s="143" t="s">
        <v>785</v>
      </c>
      <c r="F321" s="175" t="s">
        <v>810</v>
      </c>
      <c r="G321" s="175" t="s">
        <v>902</v>
      </c>
      <c r="H321" s="175" t="s">
        <v>903</v>
      </c>
      <c r="I321" s="176">
        <v>16044000</v>
      </c>
      <c r="J321" s="177" t="s">
        <v>60</v>
      </c>
      <c r="K321" s="177" t="s">
        <v>48</v>
      </c>
      <c r="L321" s="178" t="s">
        <v>904</v>
      </c>
      <c r="M321" s="143" t="s">
        <v>827</v>
      </c>
      <c r="N321" s="145" t="str">
        <f t="shared" ref="N321:N345" si="35">H321</f>
        <v>Adquirir códigos de acceso al examen en línea Oxford Placement Test, para evaluar el dominio, conocimiento y nivel del idioma inglés de los tutores aspirantes a contratistas y de aquellos ya contratados del equipo académico del Centro de Lenguas.</v>
      </c>
      <c r="O321" s="153">
        <v>3</v>
      </c>
      <c r="P321" s="146">
        <v>9</v>
      </c>
      <c r="Q321" s="147">
        <v>1</v>
      </c>
      <c r="R321" s="148" t="s">
        <v>51</v>
      </c>
      <c r="S321" s="149" t="s">
        <v>828</v>
      </c>
      <c r="T321" s="150" t="s">
        <v>53</v>
      </c>
      <c r="U321" s="151">
        <f t="shared" si="26"/>
        <v>16044000</v>
      </c>
      <c r="V321" s="152">
        <f t="shared" si="27"/>
        <v>16044000</v>
      </c>
      <c r="W321" s="153" t="s">
        <v>54</v>
      </c>
      <c r="X321" s="153" t="s">
        <v>55</v>
      </c>
      <c r="Y321" s="154" t="s">
        <v>56</v>
      </c>
      <c r="Z321" s="155" t="s">
        <v>57</v>
      </c>
      <c r="AA321" s="156" t="s">
        <v>293</v>
      </c>
      <c r="AB321" s="157" t="s">
        <v>58</v>
      </c>
      <c r="AC321" s="158" t="s">
        <v>59</v>
      </c>
      <c r="AD321" s="153" t="s">
        <v>54</v>
      </c>
      <c r="AE321" s="153" t="s">
        <v>60</v>
      </c>
      <c r="AF321" s="159" t="s">
        <v>61</v>
      </c>
      <c r="AG321" s="159" t="s">
        <v>62</v>
      </c>
      <c r="AH321" s="159" t="s">
        <v>63</v>
      </c>
      <c r="AI321" s="159" t="s">
        <v>64</v>
      </c>
      <c r="AJ321" s="159" t="s">
        <v>64</v>
      </c>
      <c r="AK321" s="197" t="s">
        <v>64</v>
      </c>
      <c r="AL321" s="29"/>
      <c r="AM321" s="29"/>
      <c r="AN321" s="29"/>
      <c r="AO321" s="29"/>
    </row>
    <row r="322" spans="1:41" s="18" customFormat="1" ht="84.75" customHeight="1" thickBot="1" x14ac:dyDescent="0.25">
      <c r="A322" s="1"/>
      <c r="B322" s="196" t="s">
        <v>42</v>
      </c>
      <c r="C322" s="143">
        <v>1320</v>
      </c>
      <c r="D322" s="143" t="s">
        <v>150</v>
      </c>
      <c r="E322" s="143" t="s">
        <v>44</v>
      </c>
      <c r="F322" s="175" t="s">
        <v>664</v>
      </c>
      <c r="G322" s="175" t="s">
        <v>665</v>
      </c>
      <c r="H322" s="175" t="s">
        <v>905</v>
      </c>
      <c r="I322" s="176">
        <v>17000000</v>
      </c>
      <c r="J322" s="177" t="s">
        <v>54</v>
      </c>
      <c r="K322" s="177" t="s">
        <v>54</v>
      </c>
      <c r="L322" s="178" t="s">
        <v>894</v>
      </c>
      <c r="M322" s="143" t="s">
        <v>50</v>
      </c>
      <c r="N322" s="145" t="str">
        <f t="shared" si="35"/>
        <v>Amparar la compra del Equipo destapador de cañerías (uso industrial) y sus accesorios, con el fin de atender la urgencia presentada en el sótano del Edificio A de las instalaciones de la Universidad Pedagógica Nacional por las fuertes lluvias.</v>
      </c>
      <c r="O322" s="153">
        <v>3</v>
      </c>
      <c r="P322" s="146">
        <v>9</v>
      </c>
      <c r="Q322" s="147">
        <v>11</v>
      </c>
      <c r="R322" s="148" t="s">
        <v>51</v>
      </c>
      <c r="S322" s="149" t="s">
        <v>286</v>
      </c>
      <c r="T322" s="150" t="s">
        <v>53</v>
      </c>
      <c r="U322" s="151">
        <f t="shared" si="26"/>
        <v>17000000</v>
      </c>
      <c r="V322" s="152">
        <f t="shared" si="27"/>
        <v>17000000</v>
      </c>
      <c r="W322" s="153" t="s">
        <v>54</v>
      </c>
      <c r="X322" s="153" t="s">
        <v>55</v>
      </c>
      <c r="Y322" s="154" t="s">
        <v>56</v>
      </c>
      <c r="Z322" s="155" t="s">
        <v>57</v>
      </c>
      <c r="AA322" s="156" t="s">
        <v>42</v>
      </c>
      <c r="AB322" s="157" t="s">
        <v>58</v>
      </c>
      <c r="AC322" s="158" t="s">
        <v>59</v>
      </c>
      <c r="AD322" s="153" t="s">
        <v>54</v>
      </c>
      <c r="AE322" s="153" t="s">
        <v>60</v>
      </c>
      <c r="AF322" s="159" t="s">
        <v>61</v>
      </c>
      <c r="AG322" s="159" t="s">
        <v>62</v>
      </c>
      <c r="AH322" s="159" t="s">
        <v>63</v>
      </c>
      <c r="AI322" s="159" t="s">
        <v>64</v>
      </c>
      <c r="AJ322" s="159" t="s">
        <v>64</v>
      </c>
      <c r="AK322" s="197" t="s">
        <v>64</v>
      </c>
      <c r="AL322" s="29"/>
      <c r="AM322" s="29"/>
      <c r="AN322" s="29"/>
      <c r="AO322" s="29"/>
    </row>
    <row r="323" spans="1:41" s="18" customFormat="1" ht="84.75" customHeight="1" thickBot="1" x14ac:dyDescent="0.25">
      <c r="A323" s="1"/>
      <c r="B323" s="196" t="s">
        <v>293</v>
      </c>
      <c r="C323" s="143">
        <v>1324</v>
      </c>
      <c r="D323" s="143" t="s">
        <v>294</v>
      </c>
      <c r="E323" s="143" t="s">
        <v>295</v>
      </c>
      <c r="F323" s="175" t="s">
        <v>126</v>
      </c>
      <c r="G323" s="175" t="s">
        <v>127</v>
      </c>
      <c r="H323" s="175" t="s">
        <v>906</v>
      </c>
      <c r="I323" s="176">
        <v>400000</v>
      </c>
      <c r="J323" s="177" t="s">
        <v>48</v>
      </c>
      <c r="K323" s="177" t="s">
        <v>48</v>
      </c>
      <c r="L323" s="178" t="s">
        <v>907</v>
      </c>
      <c r="M323" s="143" t="s">
        <v>50</v>
      </c>
      <c r="N323" s="237" t="str">
        <f>H324</f>
        <v>Amparar el pago de viaticos y gastos de viaje funcionario egesados, para la participación del Encuentro Nacional de Egresados.</v>
      </c>
      <c r="O323" s="153">
        <v>5</v>
      </c>
      <c r="P323" s="146">
        <v>7</v>
      </c>
      <c r="Q323" s="147">
        <v>11</v>
      </c>
      <c r="R323" s="148" t="s">
        <v>51</v>
      </c>
      <c r="S323" s="149" t="s">
        <v>286</v>
      </c>
      <c r="T323" s="150" t="s">
        <v>282</v>
      </c>
      <c r="U323" s="151">
        <f t="shared" si="26"/>
        <v>400000</v>
      </c>
      <c r="V323" s="152">
        <f t="shared" si="27"/>
        <v>400000</v>
      </c>
      <c r="W323" s="153" t="s">
        <v>54</v>
      </c>
      <c r="X323" s="153" t="s">
        <v>55</v>
      </c>
      <c r="Y323" s="154" t="s">
        <v>56</v>
      </c>
      <c r="Z323" s="155" t="s">
        <v>57</v>
      </c>
      <c r="AA323" s="156" t="s">
        <v>293</v>
      </c>
      <c r="AB323" s="157" t="s">
        <v>58</v>
      </c>
      <c r="AC323" s="158" t="s">
        <v>59</v>
      </c>
      <c r="AD323" s="153" t="s">
        <v>54</v>
      </c>
      <c r="AE323" s="153" t="s">
        <v>60</v>
      </c>
      <c r="AF323" s="159" t="s">
        <v>61</v>
      </c>
      <c r="AG323" s="159" t="s">
        <v>62</v>
      </c>
      <c r="AH323" s="159" t="s">
        <v>63</v>
      </c>
      <c r="AI323" s="159" t="s">
        <v>64</v>
      </c>
      <c r="AJ323" s="159" t="s">
        <v>64</v>
      </c>
      <c r="AK323" s="197" t="s">
        <v>64</v>
      </c>
      <c r="AL323" s="29"/>
      <c r="AM323" s="29"/>
      <c r="AN323" s="29"/>
      <c r="AO323" s="29"/>
    </row>
    <row r="324" spans="1:41" s="18" customFormat="1" ht="84.75" customHeight="1" thickBot="1" x14ac:dyDescent="0.25">
      <c r="A324" s="1"/>
      <c r="B324" s="196" t="s">
        <v>293</v>
      </c>
      <c r="C324" s="143">
        <v>1324</v>
      </c>
      <c r="D324" s="143" t="s">
        <v>294</v>
      </c>
      <c r="E324" s="143" t="s">
        <v>295</v>
      </c>
      <c r="F324" s="175" t="s">
        <v>117</v>
      </c>
      <c r="G324" s="175" t="s">
        <v>118</v>
      </c>
      <c r="H324" s="175" t="s">
        <v>908</v>
      </c>
      <c r="I324" s="176">
        <v>1000000</v>
      </c>
      <c r="J324" s="177" t="s">
        <v>48</v>
      </c>
      <c r="K324" s="177" t="s">
        <v>48</v>
      </c>
      <c r="L324" s="178" t="s">
        <v>907</v>
      </c>
      <c r="M324" s="143" t="s">
        <v>50</v>
      </c>
      <c r="N324" s="237"/>
      <c r="O324" s="153">
        <v>5</v>
      </c>
      <c r="P324" s="146">
        <v>7</v>
      </c>
      <c r="Q324" s="147">
        <v>11</v>
      </c>
      <c r="R324" s="148" t="s">
        <v>51</v>
      </c>
      <c r="S324" s="149" t="s">
        <v>286</v>
      </c>
      <c r="T324" s="150" t="s">
        <v>282</v>
      </c>
      <c r="U324" s="151">
        <f t="shared" si="26"/>
        <v>1000000</v>
      </c>
      <c r="V324" s="152">
        <f t="shared" si="27"/>
        <v>1000000</v>
      </c>
      <c r="W324" s="153" t="s">
        <v>54</v>
      </c>
      <c r="X324" s="153" t="s">
        <v>55</v>
      </c>
      <c r="Y324" s="154" t="s">
        <v>56</v>
      </c>
      <c r="Z324" s="155" t="s">
        <v>57</v>
      </c>
      <c r="AA324" s="156" t="s">
        <v>293</v>
      </c>
      <c r="AB324" s="157" t="s">
        <v>58</v>
      </c>
      <c r="AC324" s="158" t="s">
        <v>59</v>
      </c>
      <c r="AD324" s="153" t="s">
        <v>54</v>
      </c>
      <c r="AE324" s="153" t="s">
        <v>60</v>
      </c>
      <c r="AF324" s="159" t="s">
        <v>61</v>
      </c>
      <c r="AG324" s="159" t="s">
        <v>62</v>
      </c>
      <c r="AH324" s="159" t="s">
        <v>63</v>
      </c>
      <c r="AI324" s="159" t="s">
        <v>64</v>
      </c>
      <c r="AJ324" s="159" t="s">
        <v>64</v>
      </c>
      <c r="AK324" s="197" t="s">
        <v>64</v>
      </c>
      <c r="AL324" s="29"/>
      <c r="AM324" s="29"/>
      <c r="AN324" s="29"/>
      <c r="AO324" s="29"/>
    </row>
    <row r="325" spans="1:41" s="18" customFormat="1" ht="84.75" customHeight="1" thickBot="1" x14ac:dyDescent="0.25">
      <c r="A325" s="1"/>
      <c r="B325" s="196" t="s">
        <v>293</v>
      </c>
      <c r="C325" s="143">
        <v>1324</v>
      </c>
      <c r="D325" s="143" t="s">
        <v>294</v>
      </c>
      <c r="E325" s="143" t="s">
        <v>295</v>
      </c>
      <c r="F325" s="175" t="s">
        <v>123</v>
      </c>
      <c r="G325" s="175" t="s">
        <v>124</v>
      </c>
      <c r="H325" s="175" t="s">
        <v>909</v>
      </c>
      <c r="I325" s="176">
        <v>6100000</v>
      </c>
      <c r="J325" s="177" t="s">
        <v>60</v>
      </c>
      <c r="K325" s="177" t="s">
        <v>54</v>
      </c>
      <c r="L325" s="178" t="s">
        <v>910</v>
      </c>
      <c r="M325" s="143">
        <v>55101500</v>
      </c>
      <c r="N325" s="145" t="str">
        <f t="shared" si="35"/>
        <v>Prestar el servicio para la elaboración e impresión del material de divulgación requerido por la Universidad Pedagógica Nacional, para espacios institucionales a cargo del Centro de Egresados.</v>
      </c>
      <c r="O325" s="153">
        <v>4</v>
      </c>
      <c r="P325" s="146">
        <v>8</v>
      </c>
      <c r="Q325" s="147">
        <v>11</v>
      </c>
      <c r="R325" s="148" t="s">
        <v>51</v>
      </c>
      <c r="S325" s="149" t="s">
        <v>286</v>
      </c>
      <c r="T325" s="150" t="s">
        <v>282</v>
      </c>
      <c r="U325" s="151">
        <f t="shared" si="26"/>
        <v>6100000</v>
      </c>
      <c r="V325" s="152">
        <f t="shared" si="27"/>
        <v>6100000</v>
      </c>
      <c r="W325" s="153" t="s">
        <v>54</v>
      </c>
      <c r="X325" s="153" t="s">
        <v>55</v>
      </c>
      <c r="Y325" s="154" t="s">
        <v>56</v>
      </c>
      <c r="Z325" s="155" t="s">
        <v>57</v>
      </c>
      <c r="AA325" s="156" t="s">
        <v>293</v>
      </c>
      <c r="AB325" s="157" t="s">
        <v>58</v>
      </c>
      <c r="AC325" s="158" t="s">
        <v>59</v>
      </c>
      <c r="AD325" s="153" t="s">
        <v>54</v>
      </c>
      <c r="AE325" s="153" t="s">
        <v>60</v>
      </c>
      <c r="AF325" s="159" t="s">
        <v>61</v>
      </c>
      <c r="AG325" s="159" t="s">
        <v>62</v>
      </c>
      <c r="AH325" s="159" t="s">
        <v>63</v>
      </c>
      <c r="AI325" s="159" t="s">
        <v>64</v>
      </c>
      <c r="AJ325" s="159" t="s">
        <v>64</v>
      </c>
      <c r="AK325" s="197" t="s">
        <v>64</v>
      </c>
      <c r="AL325" s="29"/>
      <c r="AM325" s="29"/>
      <c r="AN325" s="29"/>
      <c r="AO325" s="29"/>
    </row>
    <row r="326" spans="1:41" s="18" customFormat="1" ht="84.75" customHeight="1" thickBot="1" x14ac:dyDescent="0.25">
      <c r="A326" s="1"/>
      <c r="B326" s="196" t="s">
        <v>42</v>
      </c>
      <c r="C326" s="143">
        <v>1320</v>
      </c>
      <c r="D326" s="143" t="s">
        <v>150</v>
      </c>
      <c r="E326" s="143" t="s">
        <v>44</v>
      </c>
      <c r="F326" s="175" t="s">
        <v>123</v>
      </c>
      <c r="G326" s="175" t="s">
        <v>124</v>
      </c>
      <c r="H326" s="175" t="s">
        <v>911</v>
      </c>
      <c r="I326" s="176">
        <v>50000000</v>
      </c>
      <c r="J326" s="177" t="s">
        <v>60</v>
      </c>
      <c r="K326" s="177" t="s">
        <v>48</v>
      </c>
      <c r="L326" s="178" t="s">
        <v>912</v>
      </c>
      <c r="M326" s="143">
        <v>72102900</v>
      </c>
      <c r="N326" s="145" t="str">
        <f t="shared" si="35"/>
        <v>Prestar los servicios para la demarcación y mantenimiento de las canchas deportivas de las Instalaciones de Valmaría -  UPN</v>
      </c>
      <c r="O326" s="153">
        <v>4</v>
      </c>
      <c r="P326" s="146">
        <v>8</v>
      </c>
      <c r="Q326" s="147">
        <v>11</v>
      </c>
      <c r="R326" s="148" t="s">
        <v>51</v>
      </c>
      <c r="S326" s="149" t="s">
        <v>286</v>
      </c>
      <c r="T326" s="150" t="s">
        <v>53</v>
      </c>
      <c r="U326" s="151">
        <f t="shared" si="26"/>
        <v>50000000</v>
      </c>
      <c r="V326" s="152">
        <f t="shared" si="27"/>
        <v>50000000</v>
      </c>
      <c r="W326" s="153" t="s">
        <v>54</v>
      </c>
      <c r="X326" s="153" t="s">
        <v>55</v>
      </c>
      <c r="Y326" s="154" t="s">
        <v>56</v>
      </c>
      <c r="Z326" s="155" t="s">
        <v>57</v>
      </c>
      <c r="AA326" s="156" t="s">
        <v>42</v>
      </c>
      <c r="AB326" s="157" t="s">
        <v>58</v>
      </c>
      <c r="AC326" s="158" t="s">
        <v>59</v>
      </c>
      <c r="AD326" s="153" t="s">
        <v>54</v>
      </c>
      <c r="AE326" s="153" t="s">
        <v>60</v>
      </c>
      <c r="AF326" s="159" t="s">
        <v>61</v>
      </c>
      <c r="AG326" s="159" t="s">
        <v>62</v>
      </c>
      <c r="AH326" s="159" t="s">
        <v>63</v>
      </c>
      <c r="AI326" s="159" t="s">
        <v>64</v>
      </c>
      <c r="AJ326" s="159" t="s">
        <v>64</v>
      </c>
      <c r="AK326" s="197" t="s">
        <v>64</v>
      </c>
      <c r="AL326" s="29"/>
      <c r="AM326" s="29"/>
      <c r="AN326" s="29"/>
      <c r="AO326" s="29"/>
    </row>
    <row r="327" spans="1:41" s="18" customFormat="1" ht="84.75" customHeight="1" thickBot="1" x14ac:dyDescent="0.25">
      <c r="A327" s="1"/>
      <c r="B327" s="196" t="s">
        <v>42</v>
      </c>
      <c r="C327" s="143">
        <v>1320</v>
      </c>
      <c r="D327" s="143" t="s">
        <v>150</v>
      </c>
      <c r="E327" s="143" t="s">
        <v>44</v>
      </c>
      <c r="F327" s="175" t="s">
        <v>117</v>
      </c>
      <c r="G327" s="175" t="s">
        <v>118</v>
      </c>
      <c r="H327" s="175" t="s">
        <v>913</v>
      </c>
      <c r="I327" s="176">
        <v>5000000</v>
      </c>
      <c r="J327" s="177" t="s">
        <v>54</v>
      </c>
      <c r="K327" s="177" t="s">
        <v>48</v>
      </c>
      <c r="L327" s="178" t="s">
        <v>143</v>
      </c>
      <c r="M327" s="143" t="s">
        <v>50</v>
      </c>
      <c r="N327" s="145" t="str">
        <f t="shared" si="35"/>
        <v>Amparar el apoyo económico por concepto de transporte y alimentación a la profesora DUARTE PINILLA NATALIA ANDREA, para que participe en el Campeonato Panamericano de Ciclomontañismo en Midway, Utha, USA.</v>
      </c>
      <c r="O327" s="153">
        <v>4</v>
      </c>
      <c r="P327" s="146">
        <v>8</v>
      </c>
      <c r="Q327" s="147">
        <v>4</v>
      </c>
      <c r="R327" s="148" t="s">
        <v>51</v>
      </c>
      <c r="S327" s="149" t="s">
        <v>286</v>
      </c>
      <c r="T327" s="150" t="s">
        <v>53</v>
      </c>
      <c r="U327" s="151">
        <f t="shared" si="26"/>
        <v>5000000</v>
      </c>
      <c r="V327" s="152">
        <f t="shared" si="27"/>
        <v>5000000</v>
      </c>
      <c r="W327" s="153" t="s">
        <v>54</v>
      </c>
      <c r="X327" s="153" t="s">
        <v>55</v>
      </c>
      <c r="Y327" s="154" t="s">
        <v>56</v>
      </c>
      <c r="Z327" s="155" t="s">
        <v>57</v>
      </c>
      <c r="AA327" s="156" t="s">
        <v>42</v>
      </c>
      <c r="AB327" s="157" t="s">
        <v>58</v>
      </c>
      <c r="AC327" s="158" t="s">
        <v>59</v>
      </c>
      <c r="AD327" s="153" t="s">
        <v>54</v>
      </c>
      <c r="AE327" s="153" t="s">
        <v>60</v>
      </c>
      <c r="AF327" s="159" t="s">
        <v>61</v>
      </c>
      <c r="AG327" s="159" t="s">
        <v>62</v>
      </c>
      <c r="AH327" s="159" t="s">
        <v>63</v>
      </c>
      <c r="AI327" s="159" t="s">
        <v>64</v>
      </c>
      <c r="AJ327" s="159" t="s">
        <v>64</v>
      </c>
      <c r="AK327" s="197" t="s">
        <v>64</v>
      </c>
      <c r="AL327" s="29"/>
      <c r="AM327" s="29"/>
      <c r="AN327" s="29"/>
      <c r="AO327" s="29"/>
    </row>
    <row r="328" spans="1:41" s="18" customFormat="1" ht="84.75" customHeight="1" thickBot="1" x14ac:dyDescent="0.25">
      <c r="A328" s="1"/>
      <c r="B328" s="196" t="s">
        <v>42</v>
      </c>
      <c r="C328" s="143">
        <v>1325</v>
      </c>
      <c r="D328" s="143" t="s">
        <v>155</v>
      </c>
      <c r="E328" s="143" t="s">
        <v>156</v>
      </c>
      <c r="F328" s="175" t="s">
        <v>123</v>
      </c>
      <c r="G328" s="175" t="s">
        <v>124</v>
      </c>
      <c r="H328" s="175" t="s">
        <v>914</v>
      </c>
      <c r="I328" s="176">
        <v>51574210</v>
      </c>
      <c r="J328" s="177" t="s">
        <v>575</v>
      </c>
      <c r="K328" s="177" t="s">
        <v>48</v>
      </c>
      <c r="L328" s="178" t="s">
        <v>915</v>
      </c>
      <c r="M328" s="143" t="s">
        <v>569</v>
      </c>
      <c r="N328" s="145" t="str">
        <f t="shared" si="35"/>
        <v>Adición al contrato 841 del 2023, con objeto "Realizar la prestación de los servicios de soporte y mantenimiento de los componentes del DATACENTER (Sistema de UPS, Sistema de Aires Acondicionados, Sistema Contra Incendio, Sistema CCTV, Sistema Control Acceso, Sistema Monitoreo Ambiental) de la Universidad Pedagógica Nacional"</v>
      </c>
      <c r="O328" s="153">
        <v>4</v>
      </c>
      <c r="P328" s="146">
        <v>8</v>
      </c>
      <c r="Q328" s="147">
        <v>4</v>
      </c>
      <c r="R328" s="148" t="s">
        <v>51</v>
      </c>
      <c r="S328" s="149" t="s">
        <v>601</v>
      </c>
      <c r="T328" s="150" t="s">
        <v>53</v>
      </c>
      <c r="U328" s="151">
        <f t="shared" si="26"/>
        <v>51574210</v>
      </c>
      <c r="V328" s="152">
        <f t="shared" si="27"/>
        <v>51574210</v>
      </c>
      <c r="W328" s="153" t="s">
        <v>54</v>
      </c>
      <c r="X328" s="153" t="s">
        <v>55</v>
      </c>
      <c r="Y328" s="154" t="s">
        <v>56</v>
      </c>
      <c r="Z328" s="155" t="s">
        <v>57</v>
      </c>
      <c r="AA328" s="156" t="s">
        <v>42</v>
      </c>
      <c r="AB328" s="157" t="s">
        <v>58</v>
      </c>
      <c r="AC328" s="158" t="s">
        <v>59</v>
      </c>
      <c r="AD328" s="153" t="s">
        <v>54</v>
      </c>
      <c r="AE328" s="153" t="s">
        <v>60</v>
      </c>
      <c r="AF328" s="159" t="s">
        <v>61</v>
      </c>
      <c r="AG328" s="159" t="s">
        <v>62</v>
      </c>
      <c r="AH328" s="159" t="s">
        <v>63</v>
      </c>
      <c r="AI328" s="159" t="s">
        <v>64</v>
      </c>
      <c r="AJ328" s="159" t="s">
        <v>64</v>
      </c>
      <c r="AK328" s="197" t="s">
        <v>64</v>
      </c>
      <c r="AL328" s="29"/>
      <c r="AM328" s="29"/>
      <c r="AN328" s="29"/>
      <c r="AO328" s="29"/>
    </row>
    <row r="329" spans="1:41" s="18" customFormat="1" ht="84.75" customHeight="1" thickBot="1" x14ac:dyDescent="0.25">
      <c r="A329" s="1"/>
      <c r="B329" s="196" t="s">
        <v>42</v>
      </c>
      <c r="C329" s="143">
        <v>1320</v>
      </c>
      <c r="D329" s="143" t="s">
        <v>150</v>
      </c>
      <c r="E329" s="143" t="s">
        <v>44</v>
      </c>
      <c r="F329" s="175" t="s">
        <v>78</v>
      </c>
      <c r="G329" s="175" t="s">
        <v>79</v>
      </c>
      <c r="H329" s="175" t="s">
        <v>916</v>
      </c>
      <c r="I329" s="176">
        <v>3226135</v>
      </c>
      <c r="J329" s="177" t="s">
        <v>60</v>
      </c>
      <c r="K329" s="177" t="s">
        <v>48</v>
      </c>
      <c r="L329" s="178" t="s">
        <v>917</v>
      </c>
      <c r="M329" s="143">
        <v>43211500</v>
      </c>
      <c r="N329" s="145" t="str">
        <f t="shared" si="35"/>
        <v>Adquirir Equipo de cómputo para la oficina de la ORI de la Universidad Pedagógica Nacional, como reposición según Resolución No. 160 del 17 de abril del 2024.</v>
      </c>
      <c r="O329" s="153">
        <v>5</v>
      </c>
      <c r="P329" s="146">
        <v>7</v>
      </c>
      <c r="Q329" s="147">
        <v>5</v>
      </c>
      <c r="R329" s="148" t="s">
        <v>51</v>
      </c>
      <c r="S329" s="149" t="s">
        <v>601</v>
      </c>
      <c r="T329" s="150" t="s">
        <v>53</v>
      </c>
      <c r="U329" s="151">
        <f t="shared" si="26"/>
        <v>3226135</v>
      </c>
      <c r="V329" s="152">
        <f t="shared" si="27"/>
        <v>3226135</v>
      </c>
      <c r="W329" s="153" t="s">
        <v>54</v>
      </c>
      <c r="X329" s="153" t="s">
        <v>55</v>
      </c>
      <c r="Y329" s="154" t="s">
        <v>56</v>
      </c>
      <c r="Z329" s="155" t="s">
        <v>57</v>
      </c>
      <c r="AA329" s="156" t="s">
        <v>42</v>
      </c>
      <c r="AB329" s="157" t="s">
        <v>58</v>
      </c>
      <c r="AC329" s="158" t="s">
        <v>59</v>
      </c>
      <c r="AD329" s="153" t="s">
        <v>54</v>
      </c>
      <c r="AE329" s="153" t="s">
        <v>60</v>
      </c>
      <c r="AF329" s="159" t="s">
        <v>61</v>
      </c>
      <c r="AG329" s="159" t="s">
        <v>62</v>
      </c>
      <c r="AH329" s="159" t="s">
        <v>63</v>
      </c>
      <c r="AI329" s="159" t="s">
        <v>64</v>
      </c>
      <c r="AJ329" s="159" t="s">
        <v>64</v>
      </c>
      <c r="AK329" s="197" t="s">
        <v>64</v>
      </c>
      <c r="AL329" s="29"/>
      <c r="AM329" s="29"/>
      <c r="AN329" s="29"/>
      <c r="AO329" s="29"/>
    </row>
    <row r="330" spans="1:41" s="18" customFormat="1" ht="84.75" customHeight="1" thickBot="1" x14ac:dyDescent="0.25">
      <c r="A330" s="1"/>
      <c r="B330" s="196" t="s">
        <v>42</v>
      </c>
      <c r="C330" s="143">
        <v>1470</v>
      </c>
      <c r="D330" s="143" t="s">
        <v>131</v>
      </c>
      <c r="E330" s="143" t="s">
        <v>132</v>
      </c>
      <c r="F330" s="175" t="s">
        <v>126</v>
      </c>
      <c r="G330" s="175" t="s">
        <v>127</v>
      </c>
      <c r="H330" s="175" t="s">
        <v>918</v>
      </c>
      <c r="I330" s="176">
        <f>20000000-1280</f>
        <v>19998720</v>
      </c>
      <c r="J330" s="177" t="s">
        <v>60</v>
      </c>
      <c r="K330" s="177" t="s">
        <v>48</v>
      </c>
      <c r="L330" s="178" t="s">
        <v>919</v>
      </c>
      <c r="M330" s="143" t="s">
        <v>920</v>
      </c>
      <c r="N330" s="145" t="str">
        <f t="shared" si="35"/>
        <v>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v>
      </c>
      <c r="O330" s="153">
        <v>5</v>
      </c>
      <c r="P330" s="146">
        <v>7</v>
      </c>
      <c r="Q330" s="147">
        <v>5</v>
      </c>
      <c r="R330" s="148" t="s">
        <v>51</v>
      </c>
      <c r="S330" s="149" t="s">
        <v>742</v>
      </c>
      <c r="T330" s="150" t="s">
        <v>53</v>
      </c>
      <c r="U330" s="151">
        <f t="shared" si="26"/>
        <v>19998720</v>
      </c>
      <c r="V330" s="152">
        <f t="shared" si="27"/>
        <v>19998720</v>
      </c>
      <c r="W330" s="153" t="s">
        <v>54</v>
      </c>
      <c r="X330" s="153" t="s">
        <v>55</v>
      </c>
      <c r="Y330" s="154" t="s">
        <v>56</v>
      </c>
      <c r="Z330" s="155" t="s">
        <v>57</v>
      </c>
      <c r="AA330" s="156" t="s">
        <v>42</v>
      </c>
      <c r="AB330" s="157" t="s">
        <v>58</v>
      </c>
      <c r="AC330" s="158" t="s">
        <v>59</v>
      </c>
      <c r="AD330" s="153" t="s">
        <v>54</v>
      </c>
      <c r="AE330" s="153" t="s">
        <v>60</v>
      </c>
      <c r="AF330" s="159" t="s">
        <v>61</v>
      </c>
      <c r="AG330" s="159" t="s">
        <v>62</v>
      </c>
      <c r="AH330" s="159" t="s">
        <v>63</v>
      </c>
      <c r="AI330" s="159" t="s">
        <v>64</v>
      </c>
      <c r="AJ330" s="159" t="s">
        <v>64</v>
      </c>
      <c r="AK330" s="197" t="s">
        <v>64</v>
      </c>
      <c r="AL330" s="29"/>
      <c r="AM330" s="29"/>
      <c r="AN330" s="29"/>
      <c r="AO330" s="29"/>
    </row>
    <row r="331" spans="1:41" s="18" customFormat="1" ht="84.75" customHeight="1" thickBot="1" x14ac:dyDescent="0.25">
      <c r="A331" s="1"/>
      <c r="B331" s="196" t="s">
        <v>240</v>
      </c>
      <c r="C331" s="143">
        <v>1340</v>
      </c>
      <c r="D331" s="143" t="s">
        <v>640</v>
      </c>
      <c r="E331" s="143" t="s">
        <v>44</v>
      </c>
      <c r="F331" s="175" t="s">
        <v>123</v>
      </c>
      <c r="G331" s="175" t="s">
        <v>124</v>
      </c>
      <c r="H331" s="175" t="s">
        <v>921</v>
      </c>
      <c r="I331" s="176">
        <v>2002770</v>
      </c>
      <c r="J331" s="177" t="s">
        <v>60</v>
      </c>
      <c r="K331" s="177" t="s">
        <v>48</v>
      </c>
      <c r="L331" s="178" t="s">
        <v>922</v>
      </c>
      <c r="M331" s="143">
        <v>81101700</v>
      </c>
      <c r="N331" s="145" t="str">
        <f t="shared" si="35"/>
        <v>Prestar el servicio de mantenimiento para los equipos del Laboratorio Bioclinico del Departamento de Biología de la Universidad Pedagógica Nacional.</v>
      </c>
      <c r="O331" s="153">
        <v>5</v>
      </c>
      <c r="P331" s="146">
        <v>7</v>
      </c>
      <c r="Q331" s="147">
        <v>5</v>
      </c>
      <c r="R331" s="148" t="s">
        <v>51</v>
      </c>
      <c r="S331" s="149" t="s">
        <v>662</v>
      </c>
      <c r="T331" s="150" t="s">
        <v>53</v>
      </c>
      <c r="U331" s="151">
        <f t="shared" si="26"/>
        <v>2002770</v>
      </c>
      <c r="V331" s="152">
        <f t="shared" si="27"/>
        <v>2002770</v>
      </c>
      <c r="W331" s="153" t="s">
        <v>54</v>
      </c>
      <c r="X331" s="153" t="s">
        <v>55</v>
      </c>
      <c r="Y331" s="154" t="s">
        <v>56</v>
      </c>
      <c r="Z331" s="155" t="s">
        <v>57</v>
      </c>
      <c r="AA331" s="156" t="s">
        <v>240</v>
      </c>
      <c r="AB331" s="157" t="s">
        <v>58</v>
      </c>
      <c r="AC331" s="158" t="s">
        <v>59</v>
      </c>
      <c r="AD331" s="153" t="s">
        <v>54</v>
      </c>
      <c r="AE331" s="153" t="s">
        <v>60</v>
      </c>
      <c r="AF331" s="159" t="s">
        <v>61</v>
      </c>
      <c r="AG331" s="159" t="s">
        <v>62</v>
      </c>
      <c r="AH331" s="159" t="s">
        <v>63</v>
      </c>
      <c r="AI331" s="159" t="s">
        <v>64</v>
      </c>
      <c r="AJ331" s="159" t="s">
        <v>64</v>
      </c>
      <c r="AK331" s="197" t="s">
        <v>64</v>
      </c>
      <c r="AL331" s="29"/>
      <c r="AM331" s="29"/>
      <c r="AN331" s="29"/>
      <c r="AO331" s="29"/>
    </row>
    <row r="332" spans="1:41" s="18" customFormat="1" ht="84.75" customHeight="1" thickBot="1" x14ac:dyDescent="0.25">
      <c r="A332" s="1"/>
      <c r="B332" s="196" t="s">
        <v>240</v>
      </c>
      <c r="C332" s="143">
        <v>1340</v>
      </c>
      <c r="D332" s="143" t="s">
        <v>640</v>
      </c>
      <c r="E332" s="143" t="s">
        <v>44</v>
      </c>
      <c r="F332" s="175" t="s">
        <v>123</v>
      </c>
      <c r="G332" s="175" t="s">
        <v>124</v>
      </c>
      <c r="H332" s="175" t="s">
        <v>923</v>
      </c>
      <c r="I332" s="176">
        <v>13982500</v>
      </c>
      <c r="J332" s="177" t="s">
        <v>60</v>
      </c>
      <c r="K332" s="177" t="s">
        <v>48</v>
      </c>
      <c r="L332" s="178" t="s">
        <v>924</v>
      </c>
      <c r="M332" s="143">
        <v>81101700</v>
      </c>
      <c r="N332" s="145" t="str">
        <f t="shared" si="35"/>
        <v>Prestar el servicio de mantenimiento para los equipos del Laboratorio del Departamento de Biología de la Universidad Pedagógica Nacional.</v>
      </c>
      <c r="O332" s="153">
        <v>5</v>
      </c>
      <c r="P332" s="146">
        <v>7</v>
      </c>
      <c r="Q332" s="147">
        <v>5</v>
      </c>
      <c r="R332" s="148" t="s">
        <v>51</v>
      </c>
      <c r="S332" s="149" t="s">
        <v>662</v>
      </c>
      <c r="T332" s="150" t="s">
        <v>53</v>
      </c>
      <c r="U332" s="151">
        <f t="shared" si="26"/>
        <v>13982500</v>
      </c>
      <c r="V332" s="152">
        <f t="shared" si="27"/>
        <v>13982500</v>
      </c>
      <c r="W332" s="153" t="s">
        <v>54</v>
      </c>
      <c r="X332" s="153" t="s">
        <v>55</v>
      </c>
      <c r="Y332" s="154" t="s">
        <v>56</v>
      </c>
      <c r="Z332" s="155" t="s">
        <v>57</v>
      </c>
      <c r="AA332" s="156" t="s">
        <v>240</v>
      </c>
      <c r="AB332" s="157" t="s">
        <v>58</v>
      </c>
      <c r="AC332" s="158" t="s">
        <v>59</v>
      </c>
      <c r="AD332" s="153" t="s">
        <v>54</v>
      </c>
      <c r="AE332" s="153" t="s">
        <v>60</v>
      </c>
      <c r="AF332" s="159" t="s">
        <v>61</v>
      </c>
      <c r="AG332" s="159" t="s">
        <v>62</v>
      </c>
      <c r="AH332" s="159" t="s">
        <v>63</v>
      </c>
      <c r="AI332" s="159" t="s">
        <v>64</v>
      </c>
      <c r="AJ332" s="159" t="s">
        <v>64</v>
      </c>
      <c r="AK332" s="197" t="s">
        <v>64</v>
      </c>
      <c r="AL332" s="29"/>
      <c r="AM332" s="29"/>
      <c r="AN332" s="29"/>
      <c r="AO332" s="29"/>
    </row>
    <row r="333" spans="1:41" s="18" customFormat="1" ht="84.75" customHeight="1" thickBot="1" x14ac:dyDescent="0.25">
      <c r="A333" s="1"/>
      <c r="B333" s="196" t="s">
        <v>42</v>
      </c>
      <c r="C333" s="143">
        <v>1440</v>
      </c>
      <c r="D333" s="143" t="s">
        <v>724</v>
      </c>
      <c r="E333" s="143" t="s">
        <v>132</v>
      </c>
      <c r="F333" s="175" t="s">
        <v>128</v>
      </c>
      <c r="G333" s="175" t="s">
        <v>129</v>
      </c>
      <c r="H333" s="175" t="s">
        <v>925</v>
      </c>
      <c r="I333" s="176">
        <v>22000000</v>
      </c>
      <c r="J333" s="177" t="s">
        <v>60</v>
      </c>
      <c r="K333" s="177" t="s">
        <v>48</v>
      </c>
      <c r="L333" s="178" t="s">
        <v>926</v>
      </c>
      <c r="M333" s="143" t="s">
        <v>733</v>
      </c>
      <c r="N333" s="161" t="str">
        <f t="shared" si="35"/>
        <v>Adquisición de vestuario para la participación de los integrantes de los Grupos de Representación Institucional del Programa de Cultura de la SBU en espacios de relacionamiento institucional e interinstitucional, que permita la construcción de sentidos e identidad a partir de acciones y manifestaciones artísticas y culturales de orden representativo</v>
      </c>
      <c r="O333" s="153">
        <v>5</v>
      </c>
      <c r="P333" s="146">
        <v>7</v>
      </c>
      <c r="Q333" s="147">
        <v>5</v>
      </c>
      <c r="R333" s="148" t="s">
        <v>51</v>
      </c>
      <c r="S333" s="149" t="s">
        <v>662</v>
      </c>
      <c r="T333" s="150" t="s">
        <v>53</v>
      </c>
      <c r="U333" s="151">
        <f t="shared" si="26"/>
        <v>22000000</v>
      </c>
      <c r="V333" s="152">
        <f t="shared" si="27"/>
        <v>22000000</v>
      </c>
      <c r="W333" s="153" t="s">
        <v>54</v>
      </c>
      <c r="X333" s="153" t="s">
        <v>55</v>
      </c>
      <c r="Y333" s="154" t="s">
        <v>56</v>
      </c>
      <c r="Z333" s="155" t="s">
        <v>57</v>
      </c>
      <c r="AA333" s="156" t="s">
        <v>42</v>
      </c>
      <c r="AB333" s="157" t="s">
        <v>58</v>
      </c>
      <c r="AC333" s="158" t="s">
        <v>59</v>
      </c>
      <c r="AD333" s="153" t="s">
        <v>54</v>
      </c>
      <c r="AE333" s="153" t="s">
        <v>60</v>
      </c>
      <c r="AF333" s="159" t="s">
        <v>61</v>
      </c>
      <c r="AG333" s="159" t="s">
        <v>62</v>
      </c>
      <c r="AH333" s="159" t="s">
        <v>63</v>
      </c>
      <c r="AI333" s="159" t="s">
        <v>64</v>
      </c>
      <c r="AJ333" s="159" t="s">
        <v>64</v>
      </c>
      <c r="AK333" s="197" t="s">
        <v>64</v>
      </c>
      <c r="AL333" s="29"/>
      <c r="AM333" s="29"/>
      <c r="AN333" s="29"/>
      <c r="AO333" s="29"/>
    </row>
    <row r="334" spans="1:41" s="18" customFormat="1" ht="84.75" customHeight="1" thickBot="1" x14ac:dyDescent="0.25">
      <c r="A334" s="1"/>
      <c r="B334" s="196" t="s">
        <v>42</v>
      </c>
      <c r="C334" s="143">
        <v>1440</v>
      </c>
      <c r="D334" s="143" t="s">
        <v>724</v>
      </c>
      <c r="E334" s="143" t="s">
        <v>132</v>
      </c>
      <c r="F334" s="175" t="s">
        <v>126</v>
      </c>
      <c r="G334" s="175" t="s">
        <v>127</v>
      </c>
      <c r="H334" s="175" t="s">
        <v>927</v>
      </c>
      <c r="I334" s="176">
        <v>5728000</v>
      </c>
      <c r="J334" s="177" t="s">
        <v>48</v>
      </c>
      <c r="K334" s="177" t="s">
        <v>48</v>
      </c>
      <c r="L334" s="178" t="s">
        <v>143</v>
      </c>
      <c r="M334" s="143" t="s">
        <v>50</v>
      </c>
      <c r="N334" s="145" t="str">
        <f t="shared" si="35"/>
        <v>Amparar el pago de la inscripción de los Grupos de Representación Institucional del Programa de Cultura de la SBU en los Festivales ASCUN Cultura – Nodo Bogotá</v>
      </c>
      <c r="O334" s="153">
        <v>5</v>
      </c>
      <c r="P334" s="146">
        <v>7</v>
      </c>
      <c r="Q334" s="147">
        <v>5</v>
      </c>
      <c r="R334" s="148" t="s">
        <v>51</v>
      </c>
      <c r="S334" s="149" t="s">
        <v>662</v>
      </c>
      <c r="T334" s="150" t="s">
        <v>53</v>
      </c>
      <c r="U334" s="151">
        <f t="shared" si="26"/>
        <v>5728000</v>
      </c>
      <c r="V334" s="152">
        <f t="shared" si="27"/>
        <v>5728000</v>
      </c>
      <c r="W334" s="153" t="s">
        <v>54</v>
      </c>
      <c r="X334" s="153" t="s">
        <v>55</v>
      </c>
      <c r="Y334" s="154" t="s">
        <v>56</v>
      </c>
      <c r="Z334" s="155" t="s">
        <v>57</v>
      </c>
      <c r="AA334" s="156" t="s">
        <v>42</v>
      </c>
      <c r="AB334" s="157" t="s">
        <v>58</v>
      </c>
      <c r="AC334" s="158" t="s">
        <v>59</v>
      </c>
      <c r="AD334" s="153" t="s">
        <v>54</v>
      </c>
      <c r="AE334" s="153" t="s">
        <v>60</v>
      </c>
      <c r="AF334" s="159" t="s">
        <v>61</v>
      </c>
      <c r="AG334" s="159" t="s">
        <v>62</v>
      </c>
      <c r="AH334" s="159" t="s">
        <v>63</v>
      </c>
      <c r="AI334" s="159" t="s">
        <v>64</v>
      </c>
      <c r="AJ334" s="159" t="s">
        <v>64</v>
      </c>
      <c r="AK334" s="197" t="s">
        <v>64</v>
      </c>
      <c r="AL334" s="29"/>
      <c r="AM334" s="29"/>
      <c r="AN334" s="29"/>
      <c r="AO334" s="29"/>
    </row>
    <row r="335" spans="1:41" s="18" customFormat="1" ht="84.75" customHeight="1" thickBot="1" x14ac:dyDescent="0.25">
      <c r="A335" s="1"/>
      <c r="B335" s="196" t="s">
        <v>42</v>
      </c>
      <c r="C335" s="143">
        <v>1440</v>
      </c>
      <c r="D335" s="143" t="s">
        <v>724</v>
      </c>
      <c r="E335" s="143" t="s">
        <v>132</v>
      </c>
      <c r="F335" s="175" t="s">
        <v>126</v>
      </c>
      <c r="G335" s="175" t="s">
        <v>127</v>
      </c>
      <c r="H335" s="175" t="s">
        <v>928</v>
      </c>
      <c r="I335" s="176">
        <v>4700000</v>
      </c>
      <c r="J335" s="177" t="s">
        <v>60</v>
      </c>
      <c r="K335" s="177" t="s">
        <v>48</v>
      </c>
      <c r="L335" s="178" t="s">
        <v>929</v>
      </c>
      <c r="M335" s="143">
        <v>90131500</v>
      </c>
      <c r="N335" s="161" t="str">
        <f t="shared" si="35"/>
        <v xml:space="preserve">Presentar la obra de teatro "Sensibilizar y promover el desarrollo de habilidades socioemocionales para la vida de la comunidad de la Universidad Pedagógica Nacional" </v>
      </c>
      <c r="O335" s="153">
        <v>5</v>
      </c>
      <c r="P335" s="146">
        <v>7</v>
      </c>
      <c r="Q335" s="147">
        <v>5</v>
      </c>
      <c r="R335" s="148" t="s">
        <v>51</v>
      </c>
      <c r="S335" s="149" t="s">
        <v>662</v>
      </c>
      <c r="T335" s="150" t="s">
        <v>53</v>
      </c>
      <c r="U335" s="151">
        <f t="shared" si="26"/>
        <v>4700000</v>
      </c>
      <c r="V335" s="152">
        <f t="shared" si="27"/>
        <v>4700000</v>
      </c>
      <c r="W335" s="153" t="s">
        <v>54</v>
      </c>
      <c r="X335" s="153" t="s">
        <v>55</v>
      </c>
      <c r="Y335" s="154" t="s">
        <v>56</v>
      </c>
      <c r="Z335" s="155" t="s">
        <v>57</v>
      </c>
      <c r="AA335" s="156" t="s">
        <v>42</v>
      </c>
      <c r="AB335" s="157" t="s">
        <v>58</v>
      </c>
      <c r="AC335" s="158" t="s">
        <v>59</v>
      </c>
      <c r="AD335" s="153" t="s">
        <v>54</v>
      </c>
      <c r="AE335" s="153" t="s">
        <v>60</v>
      </c>
      <c r="AF335" s="159" t="s">
        <v>61</v>
      </c>
      <c r="AG335" s="159" t="s">
        <v>62</v>
      </c>
      <c r="AH335" s="159" t="s">
        <v>63</v>
      </c>
      <c r="AI335" s="159" t="s">
        <v>64</v>
      </c>
      <c r="AJ335" s="159" t="s">
        <v>64</v>
      </c>
      <c r="AK335" s="197" t="s">
        <v>64</v>
      </c>
      <c r="AL335" s="29"/>
      <c r="AM335" s="29"/>
      <c r="AN335" s="29"/>
      <c r="AO335" s="29"/>
    </row>
    <row r="336" spans="1:41" ht="84.75" customHeight="1" thickBot="1" x14ac:dyDescent="0.25">
      <c r="A336" s="1"/>
      <c r="B336" s="196" t="s">
        <v>42</v>
      </c>
      <c r="C336" s="143">
        <v>1320</v>
      </c>
      <c r="D336" s="143" t="s">
        <v>150</v>
      </c>
      <c r="E336" s="143" t="s">
        <v>44</v>
      </c>
      <c r="F336" s="175" t="s">
        <v>123</v>
      </c>
      <c r="G336" s="175" t="s">
        <v>124</v>
      </c>
      <c r="H336" s="175" t="s">
        <v>930</v>
      </c>
      <c r="I336" s="176">
        <v>51600000</v>
      </c>
      <c r="J336" s="177" t="s">
        <v>575</v>
      </c>
      <c r="K336" s="177" t="s">
        <v>48</v>
      </c>
      <c r="L336" s="178" t="s">
        <v>931</v>
      </c>
      <c r="M336" s="143">
        <v>78181500</v>
      </c>
      <c r="N336" s="161" t="str">
        <f t="shared" si="35"/>
        <v xml:space="preserve">Adicionar al Contrato No. 202 del 2024 cuyo objeto es "Realizar el mantenimiento  preventivo y correctivo a la flota vehicular de la Universidad Pedagógica Nacional" </v>
      </c>
      <c r="O336" s="153">
        <v>5</v>
      </c>
      <c r="P336" s="146">
        <v>7</v>
      </c>
      <c r="Q336" s="147">
        <v>5</v>
      </c>
      <c r="R336" s="148" t="s">
        <v>51</v>
      </c>
      <c r="S336" s="149" t="s">
        <v>475</v>
      </c>
      <c r="T336" s="150" t="s">
        <v>53</v>
      </c>
      <c r="U336" s="151">
        <f t="shared" si="26"/>
        <v>51600000</v>
      </c>
      <c r="V336" s="152">
        <f t="shared" si="27"/>
        <v>51600000</v>
      </c>
      <c r="W336" s="153" t="s">
        <v>54</v>
      </c>
      <c r="X336" s="153" t="s">
        <v>55</v>
      </c>
      <c r="Y336" s="154" t="s">
        <v>56</v>
      </c>
      <c r="Z336" s="155" t="s">
        <v>57</v>
      </c>
      <c r="AA336" s="156" t="s">
        <v>42</v>
      </c>
      <c r="AB336" s="157" t="s">
        <v>58</v>
      </c>
      <c r="AC336" s="158" t="s">
        <v>59</v>
      </c>
      <c r="AD336" s="153" t="s">
        <v>54</v>
      </c>
      <c r="AE336" s="153" t="s">
        <v>60</v>
      </c>
      <c r="AF336" s="159" t="s">
        <v>61</v>
      </c>
      <c r="AG336" s="159" t="s">
        <v>62</v>
      </c>
      <c r="AH336" s="159" t="s">
        <v>63</v>
      </c>
      <c r="AI336" s="159" t="s">
        <v>64</v>
      </c>
      <c r="AJ336" s="159" t="s">
        <v>64</v>
      </c>
      <c r="AK336" s="197" t="s">
        <v>64</v>
      </c>
    </row>
    <row r="337" spans="1:41" s="30" customFormat="1" ht="84.75" customHeight="1" thickBot="1" x14ac:dyDescent="0.25">
      <c r="A337" s="1"/>
      <c r="B337" s="196" t="s">
        <v>42</v>
      </c>
      <c r="C337" s="143">
        <v>1320</v>
      </c>
      <c r="D337" s="143" t="s">
        <v>150</v>
      </c>
      <c r="E337" s="143" t="s">
        <v>44</v>
      </c>
      <c r="F337" s="175" t="s">
        <v>114</v>
      </c>
      <c r="G337" s="175" t="s">
        <v>115</v>
      </c>
      <c r="H337" s="175" t="s">
        <v>932</v>
      </c>
      <c r="I337" s="176">
        <f>45000000+25000000</f>
        <v>70000000</v>
      </c>
      <c r="J337" s="177" t="s">
        <v>244</v>
      </c>
      <c r="K337" s="177" t="s">
        <v>48</v>
      </c>
      <c r="L337" s="178" t="s">
        <v>933</v>
      </c>
      <c r="M337" s="143" t="s">
        <v>934</v>
      </c>
      <c r="N337" s="161" t="str">
        <f t="shared" si="35"/>
        <v>Suministrar paneles LED, reflectores, y luminarias para las  diferentes instalaciones de la Universidad Pedagógica Nacional.</v>
      </c>
      <c r="O337" s="153">
        <v>5</v>
      </c>
      <c r="P337" s="146">
        <v>7</v>
      </c>
      <c r="Q337" s="147">
        <v>5</v>
      </c>
      <c r="R337" s="148" t="s">
        <v>51</v>
      </c>
      <c r="S337" s="149" t="s">
        <v>226</v>
      </c>
      <c r="T337" s="150" t="s">
        <v>53</v>
      </c>
      <c r="U337" s="151">
        <f t="shared" si="26"/>
        <v>70000000</v>
      </c>
      <c r="V337" s="152">
        <f t="shared" si="27"/>
        <v>70000000</v>
      </c>
      <c r="W337" s="153" t="s">
        <v>54</v>
      </c>
      <c r="X337" s="153" t="s">
        <v>55</v>
      </c>
      <c r="Y337" s="154" t="s">
        <v>56</v>
      </c>
      <c r="Z337" s="155" t="s">
        <v>57</v>
      </c>
      <c r="AA337" s="156" t="s">
        <v>42</v>
      </c>
      <c r="AB337" s="157" t="s">
        <v>58</v>
      </c>
      <c r="AC337" s="158" t="s">
        <v>59</v>
      </c>
      <c r="AD337" s="153" t="s">
        <v>54</v>
      </c>
      <c r="AE337" s="153" t="s">
        <v>60</v>
      </c>
      <c r="AF337" s="159" t="s">
        <v>61</v>
      </c>
      <c r="AG337" s="159" t="s">
        <v>62</v>
      </c>
      <c r="AH337" s="159" t="s">
        <v>63</v>
      </c>
      <c r="AI337" s="159" t="s">
        <v>64</v>
      </c>
      <c r="AJ337" s="159" t="s">
        <v>64</v>
      </c>
      <c r="AK337" s="197" t="s">
        <v>64</v>
      </c>
      <c r="AL337" s="42"/>
      <c r="AM337" s="42"/>
      <c r="AN337" s="42"/>
      <c r="AO337" s="42"/>
    </row>
    <row r="338" spans="1:41" s="30" customFormat="1" ht="84.75" customHeight="1" thickBot="1" x14ac:dyDescent="0.25">
      <c r="A338" s="1"/>
      <c r="B338" s="196" t="s">
        <v>42</v>
      </c>
      <c r="C338" s="143">
        <v>1320</v>
      </c>
      <c r="D338" s="143" t="s">
        <v>150</v>
      </c>
      <c r="E338" s="143" t="s">
        <v>44</v>
      </c>
      <c r="F338" s="175" t="s">
        <v>117</v>
      </c>
      <c r="G338" s="175" t="s">
        <v>118</v>
      </c>
      <c r="H338" s="175" t="s">
        <v>935</v>
      </c>
      <c r="I338" s="176">
        <v>100000000</v>
      </c>
      <c r="J338" s="177" t="s">
        <v>244</v>
      </c>
      <c r="K338" s="177" t="s">
        <v>48</v>
      </c>
      <c r="L338" s="178" t="s">
        <v>936</v>
      </c>
      <c r="M338" s="143" t="s">
        <v>937</v>
      </c>
      <c r="N338" s="145" t="str">
        <f t="shared" si="35"/>
        <v>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v>
      </c>
      <c r="O338" s="153">
        <v>5</v>
      </c>
      <c r="P338" s="146">
        <v>7</v>
      </c>
      <c r="Q338" s="147">
        <v>5</v>
      </c>
      <c r="R338" s="148" t="s">
        <v>51</v>
      </c>
      <c r="S338" s="149" t="s">
        <v>226</v>
      </c>
      <c r="T338" s="150" t="s">
        <v>282</v>
      </c>
      <c r="U338" s="151">
        <f t="shared" si="26"/>
        <v>100000000</v>
      </c>
      <c r="V338" s="152">
        <f t="shared" si="27"/>
        <v>100000000</v>
      </c>
      <c r="W338" s="153" t="s">
        <v>54</v>
      </c>
      <c r="X338" s="153" t="s">
        <v>55</v>
      </c>
      <c r="Y338" s="154" t="s">
        <v>56</v>
      </c>
      <c r="Z338" s="155" t="s">
        <v>57</v>
      </c>
      <c r="AA338" s="156" t="s">
        <v>42</v>
      </c>
      <c r="AB338" s="157" t="s">
        <v>58</v>
      </c>
      <c r="AC338" s="158" t="s">
        <v>59</v>
      </c>
      <c r="AD338" s="153" t="s">
        <v>54</v>
      </c>
      <c r="AE338" s="153" t="s">
        <v>60</v>
      </c>
      <c r="AF338" s="159" t="s">
        <v>61</v>
      </c>
      <c r="AG338" s="159" t="s">
        <v>62</v>
      </c>
      <c r="AH338" s="159" t="s">
        <v>63</v>
      </c>
      <c r="AI338" s="159" t="s">
        <v>64</v>
      </c>
      <c r="AJ338" s="159" t="s">
        <v>64</v>
      </c>
      <c r="AK338" s="197" t="s">
        <v>64</v>
      </c>
      <c r="AL338" s="42"/>
      <c r="AM338" s="42"/>
      <c r="AN338" s="42"/>
      <c r="AO338" s="42"/>
    </row>
    <row r="339" spans="1:41" s="18" customFormat="1" ht="84.75" customHeight="1" thickBot="1" x14ac:dyDescent="0.25">
      <c r="A339" s="1"/>
      <c r="B339" s="196" t="s">
        <v>42</v>
      </c>
      <c r="C339" s="143">
        <v>1320</v>
      </c>
      <c r="D339" s="143" t="s">
        <v>150</v>
      </c>
      <c r="E339" s="143" t="s">
        <v>44</v>
      </c>
      <c r="F339" s="175" t="s">
        <v>120</v>
      </c>
      <c r="G339" s="175" t="s">
        <v>121</v>
      </c>
      <c r="H339" s="175" t="s">
        <v>938</v>
      </c>
      <c r="I339" s="176">
        <v>372136713</v>
      </c>
      <c r="J339" s="177" t="s">
        <v>575</v>
      </c>
      <c r="K339" s="177" t="s">
        <v>48</v>
      </c>
      <c r="L339" s="178" t="s">
        <v>510</v>
      </c>
      <c r="M339" s="143" t="s">
        <v>50</v>
      </c>
      <c r="N339" s="173" t="str">
        <f t="shared" si="35"/>
        <v>Adicion al Contrato  de Arriendo No.001 de 2012 - Edificio Administrativo ubicado en la Cra. 16 A No. 79-08 de la ciudad de Bogotá D.C, hasta el 30 de septiembre de 2024.</v>
      </c>
      <c r="O339" s="153">
        <v>5</v>
      </c>
      <c r="P339" s="146">
        <v>7</v>
      </c>
      <c r="Q339" s="147">
        <v>5</v>
      </c>
      <c r="R339" s="148" t="s">
        <v>51</v>
      </c>
      <c r="S339" s="149" t="s">
        <v>511</v>
      </c>
      <c r="T339" s="150" t="s">
        <v>282</v>
      </c>
      <c r="U339" s="151">
        <f t="shared" si="26"/>
        <v>372136713</v>
      </c>
      <c r="V339" s="152">
        <f t="shared" si="27"/>
        <v>372136713</v>
      </c>
      <c r="W339" s="153" t="s">
        <v>54</v>
      </c>
      <c r="X339" s="153" t="s">
        <v>55</v>
      </c>
      <c r="Y339" s="154" t="s">
        <v>56</v>
      </c>
      <c r="Z339" s="155" t="s">
        <v>57</v>
      </c>
      <c r="AA339" s="156" t="s">
        <v>42</v>
      </c>
      <c r="AB339" s="157" t="s">
        <v>58</v>
      </c>
      <c r="AC339" s="158" t="s">
        <v>59</v>
      </c>
      <c r="AD339" s="153" t="s">
        <v>54</v>
      </c>
      <c r="AE339" s="153" t="s">
        <v>60</v>
      </c>
      <c r="AF339" s="159" t="s">
        <v>61</v>
      </c>
      <c r="AG339" s="159" t="s">
        <v>62</v>
      </c>
      <c r="AH339" s="159" t="s">
        <v>63</v>
      </c>
      <c r="AI339" s="159" t="s">
        <v>64</v>
      </c>
      <c r="AJ339" s="159" t="s">
        <v>64</v>
      </c>
      <c r="AK339" s="197" t="s">
        <v>64</v>
      </c>
      <c r="AL339" s="29"/>
      <c r="AM339" s="29"/>
      <c r="AN339" s="29"/>
      <c r="AO339" s="29"/>
    </row>
    <row r="340" spans="1:41" s="18" customFormat="1" ht="84.75" customHeight="1" thickBot="1" x14ac:dyDescent="0.25">
      <c r="A340" s="1"/>
      <c r="B340" s="196" t="s">
        <v>42</v>
      </c>
      <c r="C340" s="143">
        <v>1320</v>
      </c>
      <c r="D340" s="143" t="s">
        <v>150</v>
      </c>
      <c r="E340" s="143" t="s">
        <v>44</v>
      </c>
      <c r="F340" s="175" t="s">
        <v>120</v>
      </c>
      <c r="G340" s="175" t="s">
        <v>121</v>
      </c>
      <c r="H340" s="175" t="s">
        <v>939</v>
      </c>
      <c r="I340" s="176">
        <v>265686396</v>
      </c>
      <c r="J340" s="177" t="s">
        <v>575</v>
      </c>
      <c r="K340" s="177" t="s">
        <v>48</v>
      </c>
      <c r="L340" s="178" t="s">
        <v>510</v>
      </c>
      <c r="M340" s="143" t="s">
        <v>50</v>
      </c>
      <c r="N340" s="173" t="str">
        <f t="shared" si="35"/>
        <v>Adicion al Contrato de  Arriendo No.536 de 2021 – Edificio Posgrados Ubicado en la carrera 9 No. 70- 69 de la ciudad de Bogotá D.C, hasta el 31 de diciembre de 2024. </v>
      </c>
      <c r="O340" s="153">
        <v>5</v>
      </c>
      <c r="P340" s="146">
        <v>7</v>
      </c>
      <c r="Q340" s="147">
        <v>5</v>
      </c>
      <c r="R340" s="148" t="s">
        <v>51</v>
      </c>
      <c r="S340" s="149" t="s">
        <v>511</v>
      </c>
      <c r="T340" s="150" t="s">
        <v>282</v>
      </c>
      <c r="U340" s="151">
        <f t="shared" si="26"/>
        <v>265686396</v>
      </c>
      <c r="V340" s="152">
        <f t="shared" si="27"/>
        <v>265686396</v>
      </c>
      <c r="W340" s="153" t="s">
        <v>54</v>
      </c>
      <c r="X340" s="153" t="s">
        <v>55</v>
      </c>
      <c r="Y340" s="154" t="s">
        <v>56</v>
      </c>
      <c r="Z340" s="155" t="s">
        <v>57</v>
      </c>
      <c r="AA340" s="156" t="s">
        <v>42</v>
      </c>
      <c r="AB340" s="157" t="s">
        <v>58</v>
      </c>
      <c r="AC340" s="158" t="s">
        <v>59</v>
      </c>
      <c r="AD340" s="153" t="s">
        <v>54</v>
      </c>
      <c r="AE340" s="153" t="s">
        <v>60</v>
      </c>
      <c r="AF340" s="159" t="s">
        <v>61</v>
      </c>
      <c r="AG340" s="159" t="s">
        <v>62</v>
      </c>
      <c r="AH340" s="159" t="s">
        <v>63</v>
      </c>
      <c r="AI340" s="159" t="s">
        <v>64</v>
      </c>
      <c r="AJ340" s="159" t="s">
        <v>64</v>
      </c>
      <c r="AK340" s="197" t="s">
        <v>64</v>
      </c>
      <c r="AL340" s="29"/>
      <c r="AM340" s="29"/>
      <c r="AN340" s="29"/>
      <c r="AO340" s="29"/>
    </row>
    <row r="341" spans="1:41" s="18" customFormat="1" ht="84.75" customHeight="1" thickBot="1" x14ac:dyDescent="0.25">
      <c r="A341" s="1"/>
      <c r="B341" s="196" t="s">
        <v>42</v>
      </c>
      <c r="C341" s="143">
        <v>1320</v>
      </c>
      <c r="D341" s="143" t="s">
        <v>150</v>
      </c>
      <c r="E341" s="143" t="s">
        <v>44</v>
      </c>
      <c r="F341" s="175" t="s">
        <v>120</v>
      </c>
      <c r="G341" s="175" t="s">
        <v>121</v>
      </c>
      <c r="H341" s="175" t="s">
        <v>940</v>
      </c>
      <c r="I341" s="176">
        <v>141220673</v>
      </c>
      <c r="J341" s="177" t="s">
        <v>575</v>
      </c>
      <c r="K341" s="177" t="s">
        <v>48</v>
      </c>
      <c r="L341" s="178" t="s">
        <v>510</v>
      </c>
      <c r="M341" s="143" t="s">
        <v>50</v>
      </c>
      <c r="N341" s="173" t="str">
        <f t="shared" si="35"/>
        <v>Adicion al Contrato  de  Arrendamiento No. 401 de 2022 – inmueble ubicado en la calle 78 No 9-53 de la ciudad de Bogotá D.C, hasta el 31 de diciembre de 2024.</v>
      </c>
      <c r="O341" s="153">
        <v>5</v>
      </c>
      <c r="P341" s="146">
        <v>7</v>
      </c>
      <c r="Q341" s="147">
        <v>5</v>
      </c>
      <c r="R341" s="148" t="s">
        <v>51</v>
      </c>
      <c r="S341" s="149" t="s">
        <v>511</v>
      </c>
      <c r="T341" s="150" t="s">
        <v>282</v>
      </c>
      <c r="U341" s="151">
        <f t="shared" si="26"/>
        <v>141220673</v>
      </c>
      <c r="V341" s="152">
        <f t="shared" si="27"/>
        <v>141220673</v>
      </c>
      <c r="W341" s="153" t="s">
        <v>54</v>
      </c>
      <c r="X341" s="153" t="s">
        <v>55</v>
      </c>
      <c r="Y341" s="154" t="s">
        <v>56</v>
      </c>
      <c r="Z341" s="155" t="s">
        <v>57</v>
      </c>
      <c r="AA341" s="156" t="s">
        <v>42</v>
      </c>
      <c r="AB341" s="157" t="s">
        <v>58</v>
      </c>
      <c r="AC341" s="158" t="s">
        <v>59</v>
      </c>
      <c r="AD341" s="153" t="s">
        <v>54</v>
      </c>
      <c r="AE341" s="153" t="s">
        <v>60</v>
      </c>
      <c r="AF341" s="159" t="s">
        <v>61</v>
      </c>
      <c r="AG341" s="159" t="s">
        <v>62</v>
      </c>
      <c r="AH341" s="159" t="s">
        <v>63</v>
      </c>
      <c r="AI341" s="159" t="s">
        <v>64</v>
      </c>
      <c r="AJ341" s="159" t="s">
        <v>64</v>
      </c>
      <c r="AK341" s="197" t="s">
        <v>64</v>
      </c>
      <c r="AL341" s="29"/>
      <c r="AM341" s="29"/>
      <c r="AN341" s="29"/>
      <c r="AO341" s="29"/>
    </row>
    <row r="342" spans="1:41" s="30" customFormat="1" ht="84.75" customHeight="1" thickBot="1" x14ac:dyDescent="0.25">
      <c r="A342" s="1"/>
      <c r="B342" s="196" t="s">
        <v>42</v>
      </c>
      <c r="C342" s="143">
        <v>1320</v>
      </c>
      <c r="D342" s="143" t="s">
        <v>150</v>
      </c>
      <c r="E342" s="143" t="s">
        <v>44</v>
      </c>
      <c r="F342" s="175" t="s">
        <v>128</v>
      </c>
      <c r="G342" s="175" t="s">
        <v>129</v>
      </c>
      <c r="H342" s="175" t="s">
        <v>941</v>
      </c>
      <c r="I342" s="176">
        <v>101400000</v>
      </c>
      <c r="J342" s="177" t="s">
        <v>60</v>
      </c>
      <c r="K342" s="177" t="s">
        <v>48</v>
      </c>
      <c r="L342" s="178" t="s">
        <v>942</v>
      </c>
      <c r="M342" s="143" t="s">
        <v>184</v>
      </c>
      <c r="N342" s="145" t="str">
        <f t="shared" si="35"/>
        <v>Adquirir la dotación para los funcionarios administrativos planta, provisionales y supernumerarios (caballeros) vigencia  2024</v>
      </c>
      <c r="O342" s="153">
        <v>6</v>
      </c>
      <c r="P342" s="146">
        <v>1</v>
      </c>
      <c r="Q342" s="147">
        <v>5</v>
      </c>
      <c r="R342" s="148" t="s">
        <v>51</v>
      </c>
      <c r="S342" s="149" t="s">
        <v>185</v>
      </c>
      <c r="T342" s="150" t="s">
        <v>53</v>
      </c>
      <c r="U342" s="151">
        <f t="shared" si="26"/>
        <v>101400000</v>
      </c>
      <c r="V342" s="152">
        <f t="shared" si="27"/>
        <v>101400000</v>
      </c>
      <c r="W342" s="153" t="s">
        <v>54</v>
      </c>
      <c r="X342" s="153" t="s">
        <v>55</v>
      </c>
      <c r="Y342" s="154" t="s">
        <v>56</v>
      </c>
      <c r="Z342" s="155" t="s">
        <v>57</v>
      </c>
      <c r="AA342" s="156" t="s">
        <v>42</v>
      </c>
      <c r="AB342" s="157" t="s">
        <v>58</v>
      </c>
      <c r="AC342" s="158" t="s">
        <v>59</v>
      </c>
      <c r="AD342" s="153" t="s">
        <v>54</v>
      </c>
      <c r="AE342" s="153" t="s">
        <v>60</v>
      </c>
      <c r="AF342" s="159" t="s">
        <v>61</v>
      </c>
      <c r="AG342" s="159" t="s">
        <v>62</v>
      </c>
      <c r="AH342" s="159" t="s">
        <v>63</v>
      </c>
      <c r="AI342" s="159" t="s">
        <v>64</v>
      </c>
      <c r="AJ342" s="159" t="s">
        <v>64</v>
      </c>
      <c r="AK342" s="197" t="s">
        <v>64</v>
      </c>
      <c r="AL342" s="42"/>
      <c r="AM342" s="42"/>
      <c r="AN342" s="42"/>
      <c r="AO342" s="42"/>
    </row>
    <row r="343" spans="1:41" s="30" customFormat="1" ht="84.75" customHeight="1" thickBot="1" x14ac:dyDescent="0.25">
      <c r="A343" s="1"/>
      <c r="B343" s="196" t="s">
        <v>42</v>
      </c>
      <c r="C343" s="143">
        <v>1320</v>
      </c>
      <c r="D343" s="143" t="s">
        <v>150</v>
      </c>
      <c r="E343" s="143" t="s">
        <v>44</v>
      </c>
      <c r="F343" s="175" t="s">
        <v>128</v>
      </c>
      <c r="G343" s="175" t="s">
        <v>129</v>
      </c>
      <c r="H343" s="175" t="s">
        <v>943</v>
      </c>
      <c r="I343" s="176">
        <v>130000000</v>
      </c>
      <c r="J343" s="177" t="s">
        <v>60</v>
      </c>
      <c r="K343" s="177" t="s">
        <v>48</v>
      </c>
      <c r="L343" s="178" t="s">
        <v>944</v>
      </c>
      <c r="M343" s="143" t="s">
        <v>184</v>
      </c>
      <c r="N343" s="145" t="str">
        <f t="shared" si="35"/>
        <v>Adquirir la dotación para los funcionarios administrativos planta, provisionales y supernumerarios (damas) vigencia   2024. </v>
      </c>
      <c r="O343" s="153">
        <v>6</v>
      </c>
      <c r="P343" s="146">
        <v>1</v>
      </c>
      <c r="Q343" s="147">
        <v>5</v>
      </c>
      <c r="R343" s="148" t="s">
        <v>51</v>
      </c>
      <c r="S343" s="149" t="s">
        <v>185</v>
      </c>
      <c r="T343" s="150" t="s">
        <v>53</v>
      </c>
      <c r="U343" s="151">
        <f t="shared" si="26"/>
        <v>130000000</v>
      </c>
      <c r="V343" s="152">
        <f t="shared" si="27"/>
        <v>130000000</v>
      </c>
      <c r="W343" s="153" t="s">
        <v>54</v>
      </c>
      <c r="X343" s="153" t="s">
        <v>55</v>
      </c>
      <c r="Y343" s="154" t="s">
        <v>56</v>
      </c>
      <c r="Z343" s="155" t="s">
        <v>57</v>
      </c>
      <c r="AA343" s="156" t="s">
        <v>42</v>
      </c>
      <c r="AB343" s="157" t="s">
        <v>58</v>
      </c>
      <c r="AC343" s="158" t="s">
        <v>59</v>
      </c>
      <c r="AD343" s="153" t="s">
        <v>54</v>
      </c>
      <c r="AE343" s="153" t="s">
        <v>60</v>
      </c>
      <c r="AF343" s="159" t="s">
        <v>61</v>
      </c>
      <c r="AG343" s="159" t="s">
        <v>62</v>
      </c>
      <c r="AH343" s="159" t="s">
        <v>63</v>
      </c>
      <c r="AI343" s="159" t="s">
        <v>64</v>
      </c>
      <c r="AJ343" s="159" t="s">
        <v>64</v>
      </c>
      <c r="AK343" s="197" t="s">
        <v>64</v>
      </c>
      <c r="AL343" s="42"/>
      <c r="AM343" s="42"/>
      <c r="AN343" s="42"/>
      <c r="AO343" s="42"/>
    </row>
    <row r="344" spans="1:41" ht="84.75" customHeight="1" thickBot="1" x14ac:dyDescent="0.25">
      <c r="A344" s="1"/>
      <c r="B344" s="196" t="s">
        <v>42</v>
      </c>
      <c r="C344" s="143">
        <v>1321</v>
      </c>
      <c r="D344" s="143" t="s">
        <v>140</v>
      </c>
      <c r="E344" s="143" t="s">
        <v>141</v>
      </c>
      <c r="F344" s="175" t="s">
        <v>123</v>
      </c>
      <c r="G344" s="175" t="s">
        <v>124</v>
      </c>
      <c r="H344" s="175" t="s">
        <v>945</v>
      </c>
      <c r="I344" s="176">
        <v>7000000</v>
      </c>
      <c r="J344" s="177" t="s">
        <v>60</v>
      </c>
      <c r="K344" s="177" t="s">
        <v>48</v>
      </c>
      <c r="L344" s="178" t="s">
        <v>946</v>
      </c>
      <c r="M344" s="143" t="s">
        <v>535</v>
      </c>
      <c r="N344" s="145" t="str">
        <f t="shared" si="35"/>
        <v>Prestar el servicio siembra de árboles de compensación  en cumplimiento de los conceptos técnicos emitidos por la Secretaría Distrital de Ambiente</v>
      </c>
      <c r="O344" s="153">
        <v>6</v>
      </c>
      <c r="P344" s="146">
        <v>7</v>
      </c>
      <c r="Q344" s="147">
        <v>5</v>
      </c>
      <c r="R344" s="148" t="s">
        <v>51</v>
      </c>
      <c r="S344" s="149" t="s">
        <v>536</v>
      </c>
      <c r="T344" s="150" t="s">
        <v>53</v>
      </c>
      <c r="U344" s="151">
        <f t="shared" ref="U344:U408" si="36">+I344</f>
        <v>7000000</v>
      </c>
      <c r="V344" s="152">
        <f t="shared" ref="V344:V408" si="37">+U344</f>
        <v>7000000</v>
      </c>
      <c r="W344" s="153" t="s">
        <v>54</v>
      </c>
      <c r="X344" s="153" t="s">
        <v>55</v>
      </c>
      <c r="Y344" s="154" t="s">
        <v>56</v>
      </c>
      <c r="Z344" s="155" t="s">
        <v>57</v>
      </c>
      <c r="AA344" s="156" t="s">
        <v>42</v>
      </c>
      <c r="AB344" s="157" t="s">
        <v>58</v>
      </c>
      <c r="AC344" s="158" t="s">
        <v>59</v>
      </c>
      <c r="AD344" s="153" t="s">
        <v>54</v>
      </c>
      <c r="AE344" s="153" t="s">
        <v>60</v>
      </c>
      <c r="AF344" s="159" t="s">
        <v>61</v>
      </c>
      <c r="AG344" s="159" t="s">
        <v>62</v>
      </c>
      <c r="AH344" s="159" t="s">
        <v>63</v>
      </c>
      <c r="AI344" s="159" t="s">
        <v>64</v>
      </c>
      <c r="AJ344" s="159" t="s">
        <v>64</v>
      </c>
      <c r="AK344" s="197" t="s">
        <v>64</v>
      </c>
    </row>
    <row r="345" spans="1:41" ht="84.75" customHeight="1" thickBot="1" x14ac:dyDescent="0.25">
      <c r="A345" s="1"/>
      <c r="B345" s="196" t="s">
        <v>42</v>
      </c>
      <c r="C345" s="143">
        <v>1325</v>
      </c>
      <c r="D345" s="143" t="s">
        <v>155</v>
      </c>
      <c r="E345" s="143" t="s">
        <v>156</v>
      </c>
      <c r="F345" s="175" t="s">
        <v>111</v>
      </c>
      <c r="G345" s="175" t="s">
        <v>112</v>
      </c>
      <c r="H345" s="175" t="s">
        <v>947</v>
      </c>
      <c r="I345" s="176">
        <v>8635830</v>
      </c>
      <c r="J345" s="177" t="s">
        <v>60</v>
      </c>
      <c r="K345" s="177" t="s">
        <v>48</v>
      </c>
      <c r="L345" s="178" t="s">
        <v>948</v>
      </c>
      <c r="M345" s="238" t="s">
        <v>949</v>
      </c>
      <c r="N345" s="237" t="str">
        <f t="shared" si="35"/>
        <v>Adquirir insumos, herramientas y elementos para realizar el mantenimiento preventivo y correctivo de los equipos de cómputo de la Universidad Pedagógica Nacional (parque computacional de la UPN)</v>
      </c>
      <c r="O345" s="153">
        <v>6</v>
      </c>
      <c r="P345" s="146">
        <v>7</v>
      </c>
      <c r="Q345" s="147">
        <v>5</v>
      </c>
      <c r="R345" s="148" t="s">
        <v>51</v>
      </c>
      <c r="S345" s="149" t="s">
        <v>601</v>
      </c>
      <c r="T345" s="150" t="s">
        <v>53</v>
      </c>
      <c r="U345" s="151">
        <f t="shared" si="36"/>
        <v>8635830</v>
      </c>
      <c r="V345" s="152">
        <f t="shared" si="37"/>
        <v>8635830</v>
      </c>
      <c r="W345" s="153" t="s">
        <v>54</v>
      </c>
      <c r="X345" s="153" t="s">
        <v>55</v>
      </c>
      <c r="Y345" s="154" t="s">
        <v>56</v>
      </c>
      <c r="Z345" s="155" t="s">
        <v>57</v>
      </c>
      <c r="AA345" s="156" t="s">
        <v>42</v>
      </c>
      <c r="AB345" s="157" t="s">
        <v>58</v>
      </c>
      <c r="AC345" s="158" t="s">
        <v>59</v>
      </c>
      <c r="AD345" s="153" t="s">
        <v>54</v>
      </c>
      <c r="AE345" s="153" t="s">
        <v>60</v>
      </c>
      <c r="AF345" s="159" t="s">
        <v>61</v>
      </c>
      <c r="AG345" s="159" t="s">
        <v>62</v>
      </c>
      <c r="AH345" s="159" t="s">
        <v>63</v>
      </c>
      <c r="AI345" s="159" t="s">
        <v>64</v>
      </c>
      <c r="AJ345" s="159" t="s">
        <v>64</v>
      </c>
      <c r="AK345" s="197" t="s">
        <v>64</v>
      </c>
    </row>
    <row r="346" spans="1:41" ht="84.75" customHeight="1" thickBot="1" x14ac:dyDescent="0.25">
      <c r="A346" s="1"/>
      <c r="B346" s="196" t="s">
        <v>42</v>
      </c>
      <c r="C346" s="143">
        <v>1325</v>
      </c>
      <c r="D346" s="143" t="s">
        <v>155</v>
      </c>
      <c r="E346" s="143" t="s">
        <v>156</v>
      </c>
      <c r="F346" s="175" t="s">
        <v>950</v>
      </c>
      <c r="G346" s="175" t="s">
        <v>951</v>
      </c>
      <c r="H346" s="175" t="s">
        <v>947</v>
      </c>
      <c r="I346" s="176">
        <v>1740970</v>
      </c>
      <c r="J346" s="177" t="s">
        <v>60</v>
      </c>
      <c r="K346" s="177" t="s">
        <v>48</v>
      </c>
      <c r="L346" s="178" t="s">
        <v>948</v>
      </c>
      <c r="M346" s="238"/>
      <c r="N346" s="237"/>
      <c r="O346" s="153">
        <v>6</v>
      </c>
      <c r="P346" s="146">
        <v>7</v>
      </c>
      <c r="Q346" s="147">
        <v>5</v>
      </c>
      <c r="R346" s="148" t="s">
        <v>51</v>
      </c>
      <c r="S346" s="149" t="s">
        <v>601</v>
      </c>
      <c r="T346" s="150" t="s">
        <v>53</v>
      </c>
      <c r="U346" s="151">
        <f t="shared" si="36"/>
        <v>1740970</v>
      </c>
      <c r="V346" s="152">
        <f t="shared" si="37"/>
        <v>1740970</v>
      </c>
      <c r="W346" s="153" t="s">
        <v>54</v>
      </c>
      <c r="X346" s="153" t="s">
        <v>55</v>
      </c>
      <c r="Y346" s="154" t="s">
        <v>56</v>
      </c>
      <c r="Z346" s="155" t="s">
        <v>57</v>
      </c>
      <c r="AA346" s="156" t="s">
        <v>42</v>
      </c>
      <c r="AB346" s="157" t="s">
        <v>58</v>
      </c>
      <c r="AC346" s="158" t="s">
        <v>59</v>
      </c>
      <c r="AD346" s="153" t="s">
        <v>54</v>
      </c>
      <c r="AE346" s="153" t="s">
        <v>60</v>
      </c>
      <c r="AF346" s="159" t="s">
        <v>61</v>
      </c>
      <c r="AG346" s="159" t="s">
        <v>62</v>
      </c>
      <c r="AH346" s="159" t="s">
        <v>63</v>
      </c>
      <c r="AI346" s="159" t="s">
        <v>64</v>
      </c>
      <c r="AJ346" s="159" t="s">
        <v>64</v>
      </c>
      <c r="AK346" s="197" t="s">
        <v>64</v>
      </c>
    </row>
    <row r="347" spans="1:41" ht="84.75" customHeight="1" thickBot="1" x14ac:dyDescent="0.25">
      <c r="A347" s="1"/>
      <c r="B347" s="196" t="s">
        <v>42</v>
      </c>
      <c r="C347" s="143">
        <v>1325</v>
      </c>
      <c r="D347" s="143" t="s">
        <v>155</v>
      </c>
      <c r="E347" s="143" t="s">
        <v>156</v>
      </c>
      <c r="F347" s="175" t="s">
        <v>78</v>
      </c>
      <c r="G347" s="175" t="s">
        <v>79</v>
      </c>
      <c r="H347" s="175" t="s">
        <v>947</v>
      </c>
      <c r="I347" s="176">
        <v>3390310</v>
      </c>
      <c r="J347" s="177" t="s">
        <v>60</v>
      </c>
      <c r="K347" s="177" t="s">
        <v>48</v>
      </c>
      <c r="L347" s="178" t="s">
        <v>948</v>
      </c>
      <c r="M347" s="238"/>
      <c r="N347" s="237"/>
      <c r="O347" s="153">
        <v>6</v>
      </c>
      <c r="P347" s="146">
        <v>7</v>
      </c>
      <c r="Q347" s="147">
        <v>5</v>
      </c>
      <c r="R347" s="148" t="s">
        <v>51</v>
      </c>
      <c r="S347" s="149" t="s">
        <v>601</v>
      </c>
      <c r="T347" s="150" t="s">
        <v>53</v>
      </c>
      <c r="U347" s="151">
        <f t="shared" si="36"/>
        <v>3390310</v>
      </c>
      <c r="V347" s="152">
        <f t="shared" si="37"/>
        <v>3390310</v>
      </c>
      <c r="W347" s="153" t="s">
        <v>54</v>
      </c>
      <c r="X347" s="153" t="s">
        <v>55</v>
      </c>
      <c r="Y347" s="154" t="s">
        <v>56</v>
      </c>
      <c r="Z347" s="155" t="s">
        <v>57</v>
      </c>
      <c r="AA347" s="156" t="s">
        <v>42</v>
      </c>
      <c r="AB347" s="157" t="s">
        <v>58</v>
      </c>
      <c r="AC347" s="158" t="s">
        <v>59</v>
      </c>
      <c r="AD347" s="153" t="s">
        <v>54</v>
      </c>
      <c r="AE347" s="153" t="s">
        <v>60</v>
      </c>
      <c r="AF347" s="159" t="s">
        <v>61</v>
      </c>
      <c r="AG347" s="159" t="s">
        <v>62</v>
      </c>
      <c r="AH347" s="159" t="s">
        <v>63</v>
      </c>
      <c r="AI347" s="159" t="s">
        <v>64</v>
      </c>
      <c r="AJ347" s="159" t="s">
        <v>64</v>
      </c>
      <c r="AK347" s="197" t="s">
        <v>64</v>
      </c>
    </row>
    <row r="348" spans="1:41" ht="84.75" customHeight="1" thickBot="1" x14ac:dyDescent="0.25">
      <c r="A348" s="1"/>
      <c r="B348" s="196" t="s">
        <v>42</v>
      </c>
      <c r="C348" s="143">
        <v>1325</v>
      </c>
      <c r="D348" s="143" t="s">
        <v>155</v>
      </c>
      <c r="E348" s="143" t="s">
        <v>156</v>
      </c>
      <c r="F348" s="175" t="s">
        <v>114</v>
      </c>
      <c r="G348" s="175" t="s">
        <v>115</v>
      </c>
      <c r="H348" s="175" t="s">
        <v>947</v>
      </c>
      <c r="I348" s="176">
        <v>4686220</v>
      </c>
      <c r="J348" s="177" t="s">
        <v>60</v>
      </c>
      <c r="K348" s="177" t="s">
        <v>48</v>
      </c>
      <c r="L348" s="178" t="s">
        <v>948</v>
      </c>
      <c r="M348" s="238"/>
      <c r="N348" s="237"/>
      <c r="O348" s="153">
        <v>6</v>
      </c>
      <c r="P348" s="146">
        <v>7</v>
      </c>
      <c r="Q348" s="147">
        <v>5</v>
      </c>
      <c r="R348" s="148" t="s">
        <v>51</v>
      </c>
      <c r="S348" s="149" t="s">
        <v>601</v>
      </c>
      <c r="T348" s="150" t="s">
        <v>53</v>
      </c>
      <c r="U348" s="151">
        <f t="shared" si="36"/>
        <v>4686220</v>
      </c>
      <c r="V348" s="152">
        <f t="shared" si="37"/>
        <v>4686220</v>
      </c>
      <c r="W348" s="153" t="s">
        <v>54</v>
      </c>
      <c r="X348" s="153" t="s">
        <v>55</v>
      </c>
      <c r="Y348" s="154" t="s">
        <v>56</v>
      </c>
      <c r="Z348" s="155" t="s">
        <v>57</v>
      </c>
      <c r="AA348" s="156" t="s">
        <v>42</v>
      </c>
      <c r="AB348" s="157" t="s">
        <v>58</v>
      </c>
      <c r="AC348" s="158" t="s">
        <v>59</v>
      </c>
      <c r="AD348" s="153" t="s">
        <v>54</v>
      </c>
      <c r="AE348" s="153" t="s">
        <v>60</v>
      </c>
      <c r="AF348" s="159" t="s">
        <v>61</v>
      </c>
      <c r="AG348" s="159" t="s">
        <v>62</v>
      </c>
      <c r="AH348" s="159" t="s">
        <v>63</v>
      </c>
      <c r="AI348" s="159" t="s">
        <v>64</v>
      </c>
      <c r="AJ348" s="159" t="s">
        <v>64</v>
      </c>
      <c r="AK348" s="197" t="s">
        <v>64</v>
      </c>
    </row>
    <row r="349" spans="1:41" s="8" customFormat="1" ht="84.75" customHeight="1" thickBot="1" x14ac:dyDescent="0.25">
      <c r="A349" s="1"/>
      <c r="B349" s="196" t="s">
        <v>42</v>
      </c>
      <c r="C349" s="143">
        <v>1321</v>
      </c>
      <c r="D349" s="143" t="s">
        <v>140</v>
      </c>
      <c r="E349" s="143" t="s">
        <v>141</v>
      </c>
      <c r="F349" s="175" t="s">
        <v>123</v>
      </c>
      <c r="G349" s="175" t="s">
        <v>124</v>
      </c>
      <c r="H349" s="175" t="s">
        <v>952</v>
      </c>
      <c r="I349" s="176">
        <v>45000000</v>
      </c>
      <c r="J349" s="177" t="s">
        <v>60</v>
      </c>
      <c r="K349" s="177" t="s">
        <v>48</v>
      </c>
      <c r="L349" s="178" t="s">
        <v>953</v>
      </c>
      <c r="M349" s="143" t="s">
        <v>535</v>
      </c>
      <c r="N349" s="145" t="str">
        <f>H349</f>
        <v>Prestar el servicio para ejecutar los ciclos de poda 3 y 4 autorizados en el Concepto Técnico 00371 de 2023 emitido por la SDA</v>
      </c>
      <c r="O349" s="153">
        <v>6</v>
      </c>
      <c r="P349" s="146">
        <v>7</v>
      </c>
      <c r="Q349" s="147">
        <v>5</v>
      </c>
      <c r="R349" s="148" t="s">
        <v>51</v>
      </c>
      <c r="S349" s="149" t="s">
        <v>536</v>
      </c>
      <c r="T349" s="150" t="s">
        <v>53</v>
      </c>
      <c r="U349" s="151">
        <f t="shared" si="36"/>
        <v>45000000</v>
      </c>
      <c r="V349" s="152">
        <f t="shared" si="37"/>
        <v>45000000</v>
      </c>
      <c r="W349" s="153" t="s">
        <v>54</v>
      </c>
      <c r="X349" s="153" t="s">
        <v>55</v>
      </c>
      <c r="Y349" s="154" t="s">
        <v>56</v>
      </c>
      <c r="Z349" s="155" t="s">
        <v>57</v>
      </c>
      <c r="AA349" s="156" t="s">
        <v>42</v>
      </c>
      <c r="AB349" s="157" t="s">
        <v>58</v>
      </c>
      <c r="AC349" s="158" t="s">
        <v>59</v>
      </c>
      <c r="AD349" s="153" t="s">
        <v>54</v>
      </c>
      <c r="AE349" s="153" t="s">
        <v>60</v>
      </c>
      <c r="AF349" s="159" t="s">
        <v>61</v>
      </c>
      <c r="AG349" s="159" t="s">
        <v>62</v>
      </c>
      <c r="AH349" s="159" t="s">
        <v>63</v>
      </c>
      <c r="AI349" s="159" t="s">
        <v>64</v>
      </c>
      <c r="AJ349" s="159" t="s">
        <v>64</v>
      </c>
      <c r="AK349" s="197" t="s">
        <v>64</v>
      </c>
      <c r="AL349" s="42"/>
      <c r="AM349" s="42"/>
      <c r="AN349" s="42"/>
      <c r="AO349" s="42"/>
    </row>
    <row r="350" spans="1:41" ht="84.75" customHeight="1" thickBot="1" x14ac:dyDescent="0.25">
      <c r="A350" s="1"/>
      <c r="B350" s="196" t="s">
        <v>42</v>
      </c>
      <c r="C350" s="143">
        <v>1320</v>
      </c>
      <c r="D350" s="143" t="s">
        <v>150</v>
      </c>
      <c r="E350" s="143" t="s">
        <v>44</v>
      </c>
      <c r="F350" s="175" t="s">
        <v>160</v>
      </c>
      <c r="G350" s="175" t="s">
        <v>161</v>
      </c>
      <c r="H350" s="175" t="s">
        <v>954</v>
      </c>
      <c r="I350" s="176">
        <v>2000000</v>
      </c>
      <c r="J350" s="177" t="s">
        <v>575</v>
      </c>
      <c r="K350" s="177" t="s">
        <v>48</v>
      </c>
      <c r="L350" s="178" t="s">
        <v>955</v>
      </c>
      <c r="M350" s="240" t="s">
        <v>1154</v>
      </c>
      <c r="N350" s="237" t="str">
        <f>H350</f>
        <v xml:space="preserve">Adicion al Contrato de Suministro No 597 de 2023 cuyo objeto es "Suministrar materiales de construcción, ferretería y plomería para las adecuaciones y mantenimientos que se
realizan en las diferentes instalaciones de la Universidad Pedagógica Nacional". </v>
      </c>
      <c r="O350" s="153">
        <v>6</v>
      </c>
      <c r="P350" s="146">
        <v>7</v>
      </c>
      <c r="Q350" s="147">
        <v>5</v>
      </c>
      <c r="R350" s="148" t="s">
        <v>51</v>
      </c>
      <c r="S350" s="149" t="s">
        <v>165</v>
      </c>
      <c r="T350" s="150" t="s">
        <v>53</v>
      </c>
      <c r="U350" s="151">
        <f t="shared" si="36"/>
        <v>2000000</v>
      </c>
      <c r="V350" s="152">
        <f t="shared" si="37"/>
        <v>2000000</v>
      </c>
      <c r="W350" s="153" t="s">
        <v>54</v>
      </c>
      <c r="X350" s="153" t="s">
        <v>55</v>
      </c>
      <c r="Y350" s="154" t="s">
        <v>56</v>
      </c>
      <c r="Z350" s="155" t="s">
        <v>57</v>
      </c>
      <c r="AA350" s="156" t="s">
        <v>42</v>
      </c>
      <c r="AB350" s="157" t="s">
        <v>58</v>
      </c>
      <c r="AC350" s="158" t="s">
        <v>59</v>
      </c>
      <c r="AD350" s="153" t="s">
        <v>54</v>
      </c>
      <c r="AE350" s="153" t="s">
        <v>60</v>
      </c>
      <c r="AF350" s="159" t="s">
        <v>61</v>
      </c>
      <c r="AG350" s="159" t="s">
        <v>62</v>
      </c>
      <c r="AH350" s="159" t="s">
        <v>63</v>
      </c>
      <c r="AI350" s="159" t="s">
        <v>64</v>
      </c>
      <c r="AJ350" s="159" t="s">
        <v>64</v>
      </c>
      <c r="AK350" s="197" t="s">
        <v>64</v>
      </c>
    </row>
    <row r="351" spans="1:41" s="30" customFormat="1" ht="84.75" customHeight="1" thickBot="1" x14ac:dyDescent="0.25">
      <c r="A351" s="1"/>
      <c r="B351" s="196" t="s">
        <v>42</v>
      </c>
      <c r="C351" s="143">
        <v>1320</v>
      </c>
      <c r="D351" s="143" t="s">
        <v>150</v>
      </c>
      <c r="E351" s="143" t="s">
        <v>44</v>
      </c>
      <c r="F351" s="175" t="s">
        <v>111</v>
      </c>
      <c r="G351" s="175" t="s">
        <v>112</v>
      </c>
      <c r="H351" s="175" t="s">
        <v>954</v>
      </c>
      <c r="I351" s="176">
        <v>23000000</v>
      </c>
      <c r="J351" s="177" t="s">
        <v>575</v>
      </c>
      <c r="K351" s="177" t="s">
        <v>48</v>
      </c>
      <c r="L351" s="178" t="s">
        <v>955</v>
      </c>
      <c r="M351" s="240"/>
      <c r="N351" s="237"/>
      <c r="O351" s="153">
        <v>6</v>
      </c>
      <c r="P351" s="146">
        <v>7</v>
      </c>
      <c r="Q351" s="147">
        <v>5</v>
      </c>
      <c r="R351" s="148" t="s">
        <v>51</v>
      </c>
      <c r="S351" s="149" t="s">
        <v>167</v>
      </c>
      <c r="T351" s="150" t="s">
        <v>53</v>
      </c>
      <c r="U351" s="151">
        <f t="shared" si="36"/>
        <v>23000000</v>
      </c>
      <c r="V351" s="152">
        <f t="shared" si="37"/>
        <v>23000000</v>
      </c>
      <c r="W351" s="153" t="s">
        <v>54</v>
      </c>
      <c r="X351" s="153" t="s">
        <v>55</v>
      </c>
      <c r="Y351" s="154" t="s">
        <v>56</v>
      </c>
      <c r="Z351" s="155" t="s">
        <v>57</v>
      </c>
      <c r="AA351" s="156" t="s">
        <v>42</v>
      </c>
      <c r="AB351" s="157" t="s">
        <v>58</v>
      </c>
      <c r="AC351" s="158" t="s">
        <v>59</v>
      </c>
      <c r="AD351" s="153" t="s">
        <v>54</v>
      </c>
      <c r="AE351" s="153" t="s">
        <v>60</v>
      </c>
      <c r="AF351" s="159" t="s">
        <v>61</v>
      </c>
      <c r="AG351" s="159" t="s">
        <v>62</v>
      </c>
      <c r="AH351" s="159" t="s">
        <v>63</v>
      </c>
      <c r="AI351" s="159" t="s">
        <v>64</v>
      </c>
      <c r="AJ351" s="159" t="s">
        <v>64</v>
      </c>
      <c r="AK351" s="197" t="s">
        <v>64</v>
      </c>
      <c r="AL351" s="42"/>
      <c r="AM351" s="42"/>
      <c r="AN351" s="42"/>
      <c r="AO351" s="42"/>
    </row>
    <row r="352" spans="1:41" ht="84.75" customHeight="1" thickBot="1" x14ac:dyDescent="0.25">
      <c r="A352" s="1"/>
      <c r="B352" s="196" t="s">
        <v>42</v>
      </c>
      <c r="C352" s="143">
        <v>1320</v>
      </c>
      <c r="D352" s="143" t="s">
        <v>150</v>
      </c>
      <c r="E352" s="143" t="s">
        <v>44</v>
      </c>
      <c r="F352" s="175" t="s">
        <v>114</v>
      </c>
      <c r="G352" s="175" t="s">
        <v>115</v>
      </c>
      <c r="H352" s="175" t="s">
        <v>954</v>
      </c>
      <c r="I352" s="176">
        <v>60000000</v>
      </c>
      <c r="J352" s="177" t="s">
        <v>575</v>
      </c>
      <c r="K352" s="177" t="s">
        <v>48</v>
      </c>
      <c r="L352" s="178" t="s">
        <v>955</v>
      </c>
      <c r="M352" s="240"/>
      <c r="N352" s="237"/>
      <c r="O352" s="153">
        <v>6</v>
      </c>
      <c r="P352" s="146">
        <v>7</v>
      </c>
      <c r="Q352" s="147">
        <v>5</v>
      </c>
      <c r="R352" s="148" t="s">
        <v>51</v>
      </c>
      <c r="S352" s="149" t="s">
        <v>169</v>
      </c>
      <c r="T352" s="150" t="s">
        <v>53</v>
      </c>
      <c r="U352" s="151">
        <f t="shared" si="36"/>
        <v>60000000</v>
      </c>
      <c r="V352" s="152">
        <f t="shared" si="37"/>
        <v>60000000</v>
      </c>
      <c r="W352" s="153" t="s">
        <v>54</v>
      </c>
      <c r="X352" s="153" t="s">
        <v>55</v>
      </c>
      <c r="Y352" s="154" t="s">
        <v>56</v>
      </c>
      <c r="Z352" s="155" t="s">
        <v>57</v>
      </c>
      <c r="AA352" s="156" t="s">
        <v>42</v>
      </c>
      <c r="AB352" s="157" t="s">
        <v>58</v>
      </c>
      <c r="AC352" s="158" t="s">
        <v>59</v>
      </c>
      <c r="AD352" s="153" t="s">
        <v>54</v>
      </c>
      <c r="AE352" s="153" t="s">
        <v>60</v>
      </c>
      <c r="AF352" s="159" t="s">
        <v>61</v>
      </c>
      <c r="AG352" s="159" t="s">
        <v>62</v>
      </c>
      <c r="AH352" s="159" t="s">
        <v>63</v>
      </c>
      <c r="AI352" s="159" t="s">
        <v>64</v>
      </c>
      <c r="AJ352" s="159" t="s">
        <v>64</v>
      </c>
      <c r="AK352" s="197" t="s">
        <v>64</v>
      </c>
    </row>
    <row r="353" spans="1:41" ht="84.75" customHeight="1" thickBot="1" x14ac:dyDescent="0.25">
      <c r="A353" s="1"/>
      <c r="B353" s="196" t="s">
        <v>240</v>
      </c>
      <c r="C353" s="143">
        <v>1340</v>
      </c>
      <c r="D353" s="143" t="s">
        <v>640</v>
      </c>
      <c r="E353" s="143" t="s">
        <v>44</v>
      </c>
      <c r="F353" s="175" t="s">
        <v>123</v>
      </c>
      <c r="G353" s="175" t="s">
        <v>124</v>
      </c>
      <c r="H353" s="175" t="s">
        <v>956</v>
      </c>
      <c r="I353" s="176">
        <v>15278410</v>
      </c>
      <c r="J353" s="177" t="s">
        <v>60</v>
      </c>
      <c r="K353" s="177" t="s">
        <v>48</v>
      </c>
      <c r="L353" s="178" t="s">
        <v>957</v>
      </c>
      <c r="M353" s="143" t="s">
        <v>661</v>
      </c>
      <c r="N353" s="145" t="str">
        <f t="shared" ref="N353:N367" si="38">H353</f>
        <v>Prestar el servicio de mantenimiento preventivo y/o correctivo a equipos mecánicos y electrónicos de tecnología clásica y a cabinas de extracción de vapores ubicados en el Laboratorio del Departamento de Química de la Universidad Pedagógica Nacional.</v>
      </c>
      <c r="O353" s="153">
        <v>6</v>
      </c>
      <c r="P353" s="146">
        <v>7</v>
      </c>
      <c r="Q353" s="147">
        <v>5</v>
      </c>
      <c r="R353" s="148" t="s">
        <v>51</v>
      </c>
      <c r="S353" s="149" t="s">
        <v>662</v>
      </c>
      <c r="T353" s="150" t="s">
        <v>53</v>
      </c>
      <c r="U353" s="151">
        <f t="shared" si="36"/>
        <v>15278410</v>
      </c>
      <c r="V353" s="152">
        <f t="shared" si="37"/>
        <v>15278410</v>
      </c>
      <c r="W353" s="153" t="s">
        <v>54</v>
      </c>
      <c r="X353" s="153" t="s">
        <v>55</v>
      </c>
      <c r="Y353" s="154" t="s">
        <v>56</v>
      </c>
      <c r="Z353" s="155" t="s">
        <v>57</v>
      </c>
      <c r="AA353" s="156" t="s">
        <v>240</v>
      </c>
      <c r="AB353" s="157" t="s">
        <v>58</v>
      </c>
      <c r="AC353" s="158" t="s">
        <v>59</v>
      </c>
      <c r="AD353" s="153" t="s">
        <v>54</v>
      </c>
      <c r="AE353" s="153" t="s">
        <v>60</v>
      </c>
      <c r="AF353" s="159" t="s">
        <v>61</v>
      </c>
      <c r="AG353" s="159" t="s">
        <v>62</v>
      </c>
      <c r="AH353" s="159" t="s">
        <v>63</v>
      </c>
      <c r="AI353" s="159" t="s">
        <v>64</v>
      </c>
      <c r="AJ353" s="159" t="s">
        <v>64</v>
      </c>
      <c r="AK353" s="197" t="s">
        <v>64</v>
      </c>
    </row>
    <row r="354" spans="1:41" ht="84.75" customHeight="1" thickBot="1" x14ac:dyDescent="0.25">
      <c r="A354" s="1"/>
      <c r="B354" s="196" t="s">
        <v>240</v>
      </c>
      <c r="C354" s="143">
        <v>1340</v>
      </c>
      <c r="D354" s="143" t="s">
        <v>640</v>
      </c>
      <c r="E354" s="143" t="s">
        <v>44</v>
      </c>
      <c r="F354" s="175" t="s">
        <v>123</v>
      </c>
      <c r="G354" s="175" t="s">
        <v>124</v>
      </c>
      <c r="H354" s="175" t="s">
        <v>958</v>
      </c>
      <c r="I354" s="176">
        <v>23931376</v>
      </c>
      <c r="J354" s="177" t="s">
        <v>60</v>
      </c>
      <c r="K354" s="177" t="s">
        <v>48</v>
      </c>
      <c r="L354" s="178" t="s">
        <v>959</v>
      </c>
      <c r="M354" s="143" t="s">
        <v>661</v>
      </c>
      <c r="N354" s="145" t="str">
        <f t="shared" si="38"/>
        <v>Prestar el servicio de mantenimiento preventivo y/o correctivo a equipos electrónicos de tecnología moderna ubicados en el Laboratorio del Departamento de Química de la Universidad Pedagógica Nacional.</v>
      </c>
      <c r="O354" s="153">
        <v>6</v>
      </c>
      <c r="P354" s="146">
        <v>7</v>
      </c>
      <c r="Q354" s="147">
        <v>5</v>
      </c>
      <c r="R354" s="148" t="s">
        <v>51</v>
      </c>
      <c r="S354" s="149" t="s">
        <v>662</v>
      </c>
      <c r="T354" s="150" t="s">
        <v>53</v>
      </c>
      <c r="U354" s="151">
        <f t="shared" si="36"/>
        <v>23931376</v>
      </c>
      <c r="V354" s="152">
        <f t="shared" si="37"/>
        <v>23931376</v>
      </c>
      <c r="W354" s="153" t="s">
        <v>54</v>
      </c>
      <c r="X354" s="153" t="s">
        <v>55</v>
      </c>
      <c r="Y354" s="154" t="s">
        <v>56</v>
      </c>
      <c r="Z354" s="155" t="s">
        <v>57</v>
      </c>
      <c r="AA354" s="156" t="s">
        <v>240</v>
      </c>
      <c r="AB354" s="157" t="s">
        <v>58</v>
      </c>
      <c r="AC354" s="158" t="s">
        <v>59</v>
      </c>
      <c r="AD354" s="153" t="s">
        <v>54</v>
      </c>
      <c r="AE354" s="153" t="s">
        <v>60</v>
      </c>
      <c r="AF354" s="159" t="s">
        <v>61</v>
      </c>
      <c r="AG354" s="159" t="s">
        <v>62</v>
      </c>
      <c r="AH354" s="159" t="s">
        <v>63</v>
      </c>
      <c r="AI354" s="159" t="s">
        <v>64</v>
      </c>
      <c r="AJ354" s="159" t="s">
        <v>64</v>
      </c>
      <c r="AK354" s="197" t="s">
        <v>64</v>
      </c>
    </row>
    <row r="355" spans="1:41" ht="84.75" customHeight="1" thickBot="1" x14ac:dyDescent="0.25">
      <c r="A355" s="1"/>
      <c r="B355" s="196" t="s">
        <v>42</v>
      </c>
      <c r="C355" s="143">
        <v>1430</v>
      </c>
      <c r="D355" s="143" t="s">
        <v>708</v>
      </c>
      <c r="E355" s="143" t="s">
        <v>132</v>
      </c>
      <c r="F355" s="175" t="s">
        <v>126</v>
      </c>
      <c r="G355" s="175" t="s">
        <v>127</v>
      </c>
      <c r="H355" s="175" t="s">
        <v>960</v>
      </c>
      <c r="I355" s="176">
        <f>70000000-49000000</f>
        <v>21000000</v>
      </c>
      <c r="J355" s="177" t="s">
        <v>60</v>
      </c>
      <c r="K355" s="177" t="s">
        <v>48</v>
      </c>
      <c r="L355" s="178" t="s">
        <v>961</v>
      </c>
      <c r="M355" s="143" t="s">
        <v>298</v>
      </c>
      <c r="N355" s="145" t="str">
        <f t="shared" si="38"/>
        <v>Prestar  los servicios para atender las actividades relacionadas con la participación de la delegación de la Universidad Pedagógica Nacional en los Juegos Universitarios 2024-2</v>
      </c>
      <c r="O355" s="153">
        <v>6</v>
      </c>
      <c r="P355" s="146">
        <v>7</v>
      </c>
      <c r="Q355" s="147">
        <v>5</v>
      </c>
      <c r="R355" s="148" t="s">
        <v>51</v>
      </c>
      <c r="S355" s="149" t="s">
        <v>723</v>
      </c>
      <c r="T355" s="150" t="s">
        <v>282</v>
      </c>
      <c r="U355" s="151">
        <f t="shared" si="36"/>
        <v>21000000</v>
      </c>
      <c r="V355" s="152">
        <f t="shared" si="37"/>
        <v>21000000</v>
      </c>
      <c r="W355" s="153" t="s">
        <v>54</v>
      </c>
      <c r="X355" s="153" t="s">
        <v>55</v>
      </c>
      <c r="Y355" s="154" t="s">
        <v>56</v>
      </c>
      <c r="Z355" s="155" t="s">
        <v>57</v>
      </c>
      <c r="AA355" s="156" t="s">
        <v>42</v>
      </c>
      <c r="AB355" s="157" t="s">
        <v>58</v>
      </c>
      <c r="AC355" s="158" t="s">
        <v>59</v>
      </c>
      <c r="AD355" s="153" t="s">
        <v>54</v>
      </c>
      <c r="AE355" s="153" t="s">
        <v>60</v>
      </c>
      <c r="AF355" s="159" t="s">
        <v>61</v>
      </c>
      <c r="AG355" s="159" t="s">
        <v>62</v>
      </c>
      <c r="AH355" s="159" t="s">
        <v>63</v>
      </c>
      <c r="AI355" s="159" t="s">
        <v>64</v>
      </c>
      <c r="AJ355" s="159" t="s">
        <v>64</v>
      </c>
      <c r="AK355" s="197" t="s">
        <v>64</v>
      </c>
    </row>
    <row r="356" spans="1:41" s="18" customFormat="1" ht="84.75" customHeight="1" thickBot="1" x14ac:dyDescent="0.25">
      <c r="A356" s="1"/>
      <c r="B356" s="196" t="s">
        <v>42</v>
      </c>
      <c r="C356" s="143">
        <v>1510</v>
      </c>
      <c r="D356" s="143" t="s">
        <v>203</v>
      </c>
      <c r="E356" s="143" t="s">
        <v>204</v>
      </c>
      <c r="F356" s="175" t="s">
        <v>962</v>
      </c>
      <c r="G356" s="175" t="s">
        <v>963</v>
      </c>
      <c r="H356" s="175" t="s">
        <v>964</v>
      </c>
      <c r="I356" s="176">
        <v>120583031</v>
      </c>
      <c r="J356" s="177" t="s">
        <v>60</v>
      </c>
      <c r="K356" s="177" t="s">
        <v>48</v>
      </c>
      <c r="L356" s="178" t="s">
        <v>965</v>
      </c>
      <c r="M356" s="143">
        <v>46171600</v>
      </c>
      <c r="N356" s="145" t="str">
        <f t="shared" si="38"/>
        <v>Adquirir alarmas de evacuación para las diferentes instalaciones de la Universidad Pedagógica Nacional.</v>
      </c>
      <c r="O356" s="153">
        <v>8</v>
      </c>
      <c r="P356" s="146">
        <v>9</v>
      </c>
      <c r="Q356" s="147">
        <v>3</v>
      </c>
      <c r="R356" s="148" t="s">
        <v>51</v>
      </c>
      <c r="S356" s="149" t="s">
        <v>723</v>
      </c>
      <c r="T356" s="150" t="s">
        <v>282</v>
      </c>
      <c r="U356" s="151">
        <f t="shared" si="36"/>
        <v>120583031</v>
      </c>
      <c r="V356" s="152">
        <f t="shared" si="37"/>
        <v>120583031</v>
      </c>
      <c r="W356" s="153" t="s">
        <v>54</v>
      </c>
      <c r="X356" s="153" t="s">
        <v>55</v>
      </c>
      <c r="Y356" s="154" t="s">
        <v>56</v>
      </c>
      <c r="Z356" s="155" t="s">
        <v>57</v>
      </c>
      <c r="AA356" s="156" t="s">
        <v>42</v>
      </c>
      <c r="AB356" s="157" t="s">
        <v>58</v>
      </c>
      <c r="AC356" s="158" t="s">
        <v>59</v>
      </c>
      <c r="AD356" s="153" t="s">
        <v>54</v>
      </c>
      <c r="AE356" s="153" t="s">
        <v>60</v>
      </c>
      <c r="AF356" s="159" t="s">
        <v>61</v>
      </c>
      <c r="AG356" s="159" t="s">
        <v>62</v>
      </c>
      <c r="AH356" s="159" t="s">
        <v>63</v>
      </c>
      <c r="AI356" s="159" t="s">
        <v>64</v>
      </c>
      <c r="AJ356" s="159" t="s">
        <v>64</v>
      </c>
      <c r="AK356" s="197" t="s">
        <v>64</v>
      </c>
      <c r="AL356" s="29"/>
      <c r="AM356" s="29"/>
      <c r="AN356" s="29"/>
      <c r="AO356" s="29"/>
    </row>
    <row r="357" spans="1:41" ht="84.75" customHeight="1" thickBot="1" x14ac:dyDescent="0.25">
      <c r="A357" s="1"/>
      <c r="B357" s="196" t="s">
        <v>42</v>
      </c>
      <c r="C357" s="143">
        <v>1480</v>
      </c>
      <c r="D357" s="143" t="s">
        <v>136</v>
      </c>
      <c r="E357" s="143" t="s">
        <v>132</v>
      </c>
      <c r="F357" s="175" t="s">
        <v>962</v>
      </c>
      <c r="G357" s="175" t="s">
        <v>963</v>
      </c>
      <c r="H357" s="175" t="s">
        <v>966</v>
      </c>
      <c r="I357" s="176">
        <v>1575000</v>
      </c>
      <c r="J357" s="177" t="s">
        <v>60</v>
      </c>
      <c r="K357" s="177" t="s">
        <v>48</v>
      </c>
      <c r="L357" s="178" t="s">
        <v>967</v>
      </c>
      <c r="M357" s="238" t="s">
        <v>969</v>
      </c>
      <c r="N357" s="237" t="str">
        <f>H359</f>
        <v>Adquisición de equipos y accesorios para la realización de las diferentes actividades de los programas de la Subdirección de Bienestar Universitario</v>
      </c>
      <c r="O357" s="153">
        <v>6</v>
      </c>
      <c r="P357" s="146">
        <v>7</v>
      </c>
      <c r="Q357" s="147">
        <v>5</v>
      </c>
      <c r="R357" s="148" t="s">
        <v>51</v>
      </c>
      <c r="S357" s="149" t="s">
        <v>771</v>
      </c>
      <c r="T357" s="150" t="s">
        <v>53</v>
      </c>
      <c r="U357" s="151">
        <f t="shared" si="36"/>
        <v>1575000</v>
      </c>
      <c r="V357" s="152">
        <f t="shared" si="37"/>
        <v>1575000</v>
      </c>
      <c r="W357" s="153" t="s">
        <v>54</v>
      </c>
      <c r="X357" s="153" t="s">
        <v>55</v>
      </c>
      <c r="Y357" s="154" t="s">
        <v>56</v>
      </c>
      <c r="Z357" s="155" t="s">
        <v>57</v>
      </c>
      <c r="AA357" s="156" t="s">
        <v>42</v>
      </c>
      <c r="AB357" s="157" t="s">
        <v>58</v>
      </c>
      <c r="AC357" s="158" t="s">
        <v>59</v>
      </c>
      <c r="AD357" s="153" t="s">
        <v>54</v>
      </c>
      <c r="AE357" s="153" t="s">
        <v>60</v>
      </c>
      <c r="AF357" s="159" t="s">
        <v>61</v>
      </c>
      <c r="AG357" s="159" t="s">
        <v>62</v>
      </c>
      <c r="AH357" s="159" t="s">
        <v>63</v>
      </c>
      <c r="AI357" s="159" t="s">
        <v>64</v>
      </c>
      <c r="AJ357" s="159" t="s">
        <v>64</v>
      </c>
      <c r="AK357" s="197" t="s">
        <v>64</v>
      </c>
    </row>
    <row r="358" spans="1:41" ht="84.75" customHeight="1" thickBot="1" x14ac:dyDescent="0.25">
      <c r="A358" s="1"/>
      <c r="B358" s="196" t="s">
        <v>42</v>
      </c>
      <c r="C358" s="143">
        <v>1480</v>
      </c>
      <c r="D358" s="143" t="s">
        <v>136</v>
      </c>
      <c r="E358" s="143" t="s">
        <v>132</v>
      </c>
      <c r="F358" s="175" t="s">
        <v>84</v>
      </c>
      <c r="G358" s="175" t="s">
        <v>968</v>
      </c>
      <c r="H358" s="175" t="s">
        <v>966</v>
      </c>
      <c r="I358" s="176">
        <v>6380000</v>
      </c>
      <c r="J358" s="177" t="s">
        <v>60</v>
      </c>
      <c r="K358" s="177" t="s">
        <v>48</v>
      </c>
      <c r="L358" s="178" t="s">
        <v>967</v>
      </c>
      <c r="M358" s="238"/>
      <c r="N358" s="237"/>
      <c r="O358" s="153">
        <v>6</v>
      </c>
      <c r="P358" s="146">
        <v>7</v>
      </c>
      <c r="Q358" s="147">
        <v>5</v>
      </c>
      <c r="R358" s="148" t="s">
        <v>51</v>
      </c>
      <c r="S358" s="149" t="s">
        <v>771</v>
      </c>
      <c r="T358" s="150" t="s">
        <v>53</v>
      </c>
      <c r="U358" s="151">
        <f t="shared" si="36"/>
        <v>6380000</v>
      </c>
      <c r="V358" s="152">
        <f t="shared" si="37"/>
        <v>6380000</v>
      </c>
      <c r="W358" s="153" t="s">
        <v>54</v>
      </c>
      <c r="X358" s="153" t="s">
        <v>55</v>
      </c>
      <c r="Y358" s="154" t="s">
        <v>56</v>
      </c>
      <c r="Z358" s="155" t="s">
        <v>57</v>
      </c>
      <c r="AA358" s="156" t="s">
        <v>42</v>
      </c>
      <c r="AB358" s="157" t="s">
        <v>58</v>
      </c>
      <c r="AC358" s="158" t="s">
        <v>59</v>
      </c>
      <c r="AD358" s="153" t="s">
        <v>54</v>
      </c>
      <c r="AE358" s="153" t="s">
        <v>60</v>
      </c>
      <c r="AF358" s="159" t="s">
        <v>61</v>
      </c>
      <c r="AG358" s="159" t="s">
        <v>62</v>
      </c>
      <c r="AH358" s="159" t="s">
        <v>63</v>
      </c>
      <c r="AI358" s="159" t="s">
        <v>64</v>
      </c>
      <c r="AJ358" s="159" t="s">
        <v>64</v>
      </c>
      <c r="AK358" s="197" t="s">
        <v>64</v>
      </c>
    </row>
    <row r="359" spans="1:41" ht="84.75" customHeight="1" thickBot="1" x14ac:dyDescent="0.25">
      <c r="A359" s="1"/>
      <c r="B359" s="196" t="s">
        <v>42</v>
      </c>
      <c r="C359" s="143">
        <v>1480</v>
      </c>
      <c r="D359" s="143" t="s">
        <v>136</v>
      </c>
      <c r="E359" s="143" t="s">
        <v>132</v>
      </c>
      <c r="F359" s="175" t="s">
        <v>114</v>
      </c>
      <c r="G359" s="175" t="s">
        <v>115</v>
      </c>
      <c r="H359" s="175" t="s">
        <v>966</v>
      </c>
      <c r="I359" s="176">
        <v>1235000</v>
      </c>
      <c r="J359" s="177" t="s">
        <v>60</v>
      </c>
      <c r="K359" s="177" t="s">
        <v>48</v>
      </c>
      <c r="L359" s="178" t="s">
        <v>967</v>
      </c>
      <c r="M359" s="238"/>
      <c r="N359" s="237"/>
      <c r="O359" s="153">
        <v>6</v>
      </c>
      <c r="P359" s="146">
        <v>7</v>
      </c>
      <c r="Q359" s="147">
        <v>5</v>
      </c>
      <c r="R359" s="148" t="s">
        <v>51</v>
      </c>
      <c r="S359" s="149" t="s">
        <v>771</v>
      </c>
      <c r="T359" s="150" t="s">
        <v>53</v>
      </c>
      <c r="U359" s="151">
        <f t="shared" si="36"/>
        <v>1235000</v>
      </c>
      <c r="V359" s="152">
        <f t="shared" si="37"/>
        <v>1235000</v>
      </c>
      <c r="W359" s="153" t="s">
        <v>54</v>
      </c>
      <c r="X359" s="153" t="s">
        <v>55</v>
      </c>
      <c r="Y359" s="154" t="s">
        <v>56</v>
      </c>
      <c r="Z359" s="155" t="s">
        <v>57</v>
      </c>
      <c r="AA359" s="156" t="s">
        <v>42</v>
      </c>
      <c r="AB359" s="157" t="s">
        <v>58</v>
      </c>
      <c r="AC359" s="158" t="s">
        <v>59</v>
      </c>
      <c r="AD359" s="153" t="s">
        <v>54</v>
      </c>
      <c r="AE359" s="153" t="s">
        <v>60</v>
      </c>
      <c r="AF359" s="159" t="s">
        <v>61</v>
      </c>
      <c r="AG359" s="159" t="s">
        <v>62</v>
      </c>
      <c r="AH359" s="159" t="s">
        <v>63</v>
      </c>
      <c r="AI359" s="159" t="s">
        <v>64</v>
      </c>
      <c r="AJ359" s="159" t="s">
        <v>64</v>
      </c>
      <c r="AK359" s="197" t="s">
        <v>64</v>
      </c>
    </row>
    <row r="360" spans="1:41" ht="84.75" customHeight="1" thickBot="1" x14ac:dyDescent="0.25">
      <c r="A360" s="1"/>
      <c r="B360" s="196" t="s">
        <v>42</v>
      </c>
      <c r="C360" s="143">
        <v>1480</v>
      </c>
      <c r="D360" s="143" t="s">
        <v>136</v>
      </c>
      <c r="E360" s="143" t="s">
        <v>132</v>
      </c>
      <c r="F360" s="175" t="s">
        <v>128</v>
      </c>
      <c r="G360" s="175" t="s">
        <v>129</v>
      </c>
      <c r="H360" s="175" t="s">
        <v>970</v>
      </c>
      <c r="I360" s="176">
        <v>4015800</v>
      </c>
      <c r="J360" s="177" t="s">
        <v>60</v>
      </c>
      <c r="K360" s="177" t="s">
        <v>48</v>
      </c>
      <c r="L360" s="178" t="s">
        <v>971</v>
      </c>
      <c r="M360" s="145">
        <v>95131700</v>
      </c>
      <c r="N360" s="145" t="str">
        <f t="shared" si="38"/>
        <v>Adquirir carpas, para atender los diferentes eventos institucionales organizados por la Subdirección de Bienestar Universitario</v>
      </c>
      <c r="O360" s="153">
        <v>6</v>
      </c>
      <c r="P360" s="146">
        <v>7</v>
      </c>
      <c r="Q360" s="147">
        <v>5</v>
      </c>
      <c r="R360" s="148" t="s">
        <v>51</v>
      </c>
      <c r="S360" s="149" t="s">
        <v>771</v>
      </c>
      <c r="T360" s="150" t="s">
        <v>53</v>
      </c>
      <c r="U360" s="151">
        <f t="shared" si="36"/>
        <v>4015800</v>
      </c>
      <c r="V360" s="152">
        <f t="shared" si="37"/>
        <v>4015800</v>
      </c>
      <c r="W360" s="153" t="s">
        <v>54</v>
      </c>
      <c r="X360" s="153" t="s">
        <v>55</v>
      </c>
      <c r="Y360" s="154" t="s">
        <v>56</v>
      </c>
      <c r="Z360" s="155" t="s">
        <v>57</v>
      </c>
      <c r="AA360" s="156" t="s">
        <v>42</v>
      </c>
      <c r="AB360" s="157" t="s">
        <v>58</v>
      </c>
      <c r="AC360" s="158" t="s">
        <v>59</v>
      </c>
      <c r="AD360" s="153" t="s">
        <v>54</v>
      </c>
      <c r="AE360" s="153" t="s">
        <v>60</v>
      </c>
      <c r="AF360" s="159" t="s">
        <v>61</v>
      </c>
      <c r="AG360" s="159" t="s">
        <v>62</v>
      </c>
      <c r="AH360" s="159" t="s">
        <v>63</v>
      </c>
      <c r="AI360" s="159" t="s">
        <v>64</v>
      </c>
      <c r="AJ360" s="159" t="s">
        <v>64</v>
      </c>
      <c r="AK360" s="197" t="s">
        <v>64</v>
      </c>
    </row>
    <row r="361" spans="1:41" ht="84.75" customHeight="1" thickBot="1" x14ac:dyDescent="0.25">
      <c r="A361" s="1"/>
      <c r="B361" s="196" t="s">
        <v>42</v>
      </c>
      <c r="C361" s="143">
        <v>1480</v>
      </c>
      <c r="D361" s="143" t="s">
        <v>136</v>
      </c>
      <c r="E361" s="143" t="s">
        <v>132</v>
      </c>
      <c r="F361" s="175" t="s">
        <v>126</v>
      </c>
      <c r="G361" s="175" t="s">
        <v>127</v>
      </c>
      <c r="H361" s="175" t="s">
        <v>972</v>
      </c>
      <c r="I361" s="176">
        <v>14800000</v>
      </c>
      <c r="J361" s="177" t="s">
        <v>575</v>
      </c>
      <c r="K361" s="177" t="s">
        <v>48</v>
      </c>
      <c r="L361" s="178" t="s">
        <v>973</v>
      </c>
      <c r="M361" s="143">
        <v>90151800</v>
      </c>
      <c r="N361" s="145" t="str">
        <f t="shared" si="38"/>
        <v>Adición del Contrato N° 248 del 2024, cuyo objeto es "Prestar los servicios logísticos para las diferentes actividades lúdico-deportivas, programadas desde la Subdirección de Bienestar Universitario".</v>
      </c>
      <c r="O361" s="153">
        <v>6</v>
      </c>
      <c r="P361" s="146">
        <v>7</v>
      </c>
      <c r="Q361" s="147">
        <v>5</v>
      </c>
      <c r="R361" s="148" t="s">
        <v>51</v>
      </c>
      <c r="S361" s="149" t="s">
        <v>771</v>
      </c>
      <c r="T361" s="150" t="s">
        <v>53</v>
      </c>
      <c r="U361" s="151">
        <f t="shared" si="36"/>
        <v>14800000</v>
      </c>
      <c r="V361" s="152">
        <f t="shared" si="37"/>
        <v>14800000</v>
      </c>
      <c r="W361" s="153" t="s">
        <v>54</v>
      </c>
      <c r="X361" s="153" t="s">
        <v>55</v>
      </c>
      <c r="Y361" s="154" t="s">
        <v>56</v>
      </c>
      <c r="Z361" s="155" t="s">
        <v>57</v>
      </c>
      <c r="AA361" s="156" t="s">
        <v>42</v>
      </c>
      <c r="AB361" s="157" t="s">
        <v>58</v>
      </c>
      <c r="AC361" s="158" t="s">
        <v>59</v>
      </c>
      <c r="AD361" s="153" t="s">
        <v>54</v>
      </c>
      <c r="AE361" s="153" t="s">
        <v>60</v>
      </c>
      <c r="AF361" s="159" t="s">
        <v>61</v>
      </c>
      <c r="AG361" s="159" t="s">
        <v>62</v>
      </c>
      <c r="AH361" s="159" t="s">
        <v>63</v>
      </c>
      <c r="AI361" s="159" t="s">
        <v>64</v>
      </c>
      <c r="AJ361" s="159" t="s">
        <v>64</v>
      </c>
      <c r="AK361" s="197" t="s">
        <v>64</v>
      </c>
    </row>
    <row r="362" spans="1:41" s="30" customFormat="1" ht="84.75" customHeight="1" thickBot="1" x14ac:dyDescent="0.25">
      <c r="A362" s="1"/>
      <c r="B362" s="196" t="s">
        <v>42</v>
      </c>
      <c r="C362" s="143">
        <v>1320</v>
      </c>
      <c r="D362" s="143" t="s">
        <v>150</v>
      </c>
      <c r="E362" s="143" t="s">
        <v>44</v>
      </c>
      <c r="F362" s="175" t="s">
        <v>120</v>
      </c>
      <c r="G362" s="175" t="s">
        <v>121</v>
      </c>
      <c r="H362" s="175" t="s">
        <v>974</v>
      </c>
      <c r="I362" s="176">
        <v>234063</v>
      </c>
      <c r="J362" s="177" t="s">
        <v>48</v>
      </c>
      <c r="K362" s="177" t="s">
        <v>48</v>
      </c>
      <c r="L362" s="178" t="s">
        <v>143</v>
      </c>
      <c r="M362" s="143" t="s">
        <v>50</v>
      </c>
      <c r="N362" s="145" t="str">
        <f t="shared" si="38"/>
        <v xml:space="preserve">Amparar el pago del deducible correspondiente a la liquidación de indemnización del Seguros de Responsabilidad Civil Póliza No. 1007796 - SINIESTRO No 30720 CASO ONBASE No 272548 a favor del señor Cesar Augusto Calderón Silva.  
</v>
      </c>
      <c r="O362" s="153">
        <v>6</v>
      </c>
      <c r="P362" s="146">
        <v>7</v>
      </c>
      <c r="Q362" s="147">
        <v>5</v>
      </c>
      <c r="R362" s="148" t="s">
        <v>51</v>
      </c>
      <c r="S362" s="149" t="s">
        <v>511</v>
      </c>
      <c r="T362" s="150" t="s">
        <v>53</v>
      </c>
      <c r="U362" s="151">
        <f t="shared" si="36"/>
        <v>234063</v>
      </c>
      <c r="V362" s="152">
        <f t="shared" si="37"/>
        <v>234063</v>
      </c>
      <c r="W362" s="153" t="s">
        <v>54</v>
      </c>
      <c r="X362" s="153" t="s">
        <v>55</v>
      </c>
      <c r="Y362" s="154" t="s">
        <v>56</v>
      </c>
      <c r="Z362" s="155" t="s">
        <v>57</v>
      </c>
      <c r="AA362" s="156" t="s">
        <v>42</v>
      </c>
      <c r="AB362" s="157" t="s">
        <v>58</v>
      </c>
      <c r="AC362" s="158" t="s">
        <v>59</v>
      </c>
      <c r="AD362" s="153" t="s">
        <v>54</v>
      </c>
      <c r="AE362" s="153" t="s">
        <v>60</v>
      </c>
      <c r="AF362" s="159" t="s">
        <v>61</v>
      </c>
      <c r="AG362" s="159" t="s">
        <v>62</v>
      </c>
      <c r="AH362" s="159" t="s">
        <v>63</v>
      </c>
      <c r="AI362" s="159" t="s">
        <v>64</v>
      </c>
      <c r="AJ362" s="159" t="s">
        <v>64</v>
      </c>
      <c r="AK362" s="197" t="s">
        <v>64</v>
      </c>
      <c r="AL362" s="42"/>
      <c r="AM362" s="42"/>
      <c r="AN362" s="42"/>
      <c r="AO362" s="42"/>
    </row>
    <row r="363" spans="1:41" s="8" customFormat="1" ht="84.75" customHeight="1" thickBot="1" x14ac:dyDescent="0.25">
      <c r="A363" s="1"/>
      <c r="B363" s="196" t="s">
        <v>42</v>
      </c>
      <c r="C363" s="143">
        <v>1321</v>
      </c>
      <c r="D363" s="143" t="s">
        <v>140</v>
      </c>
      <c r="E363" s="143" t="s">
        <v>141</v>
      </c>
      <c r="F363" s="175" t="s">
        <v>123</v>
      </c>
      <c r="G363" s="175" t="s">
        <v>124</v>
      </c>
      <c r="H363" s="175" t="s">
        <v>975</v>
      </c>
      <c r="I363" s="176">
        <v>3500000</v>
      </c>
      <c r="J363" s="177" t="s">
        <v>60</v>
      </c>
      <c r="K363" s="177" t="s">
        <v>48</v>
      </c>
      <c r="L363" s="178" t="s">
        <v>976</v>
      </c>
      <c r="M363" s="143" t="s">
        <v>535</v>
      </c>
      <c r="N363" s="145" t="str">
        <f t="shared" si="38"/>
        <v>Prestar el servicio de tala de dos árboles autorizados por emergencia en el acta de visita de silvicultura 25122  en el IPN</v>
      </c>
      <c r="O363" s="153">
        <v>6</v>
      </c>
      <c r="P363" s="146">
        <v>7</v>
      </c>
      <c r="Q363" s="147">
        <v>5</v>
      </c>
      <c r="R363" s="148" t="s">
        <v>51</v>
      </c>
      <c r="S363" s="149" t="s">
        <v>536</v>
      </c>
      <c r="T363" s="150" t="s">
        <v>53</v>
      </c>
      <c r="U363" s="151">
        <f t="shared" si="36"/>
        <v>3500000</v>
      </c>
      <c r="V363" s="152">
        <f t="shared" si="37"/>
        <v>3500000</v>
      </c>
      <c r="W363" s="153" t="s">
        <v>54</v>
      </c>
      <c r="X363" s="153" t="s">
        <v>55</v>
      </c>
      <c r="Y363" s="154" t="s">
        <v>56</v>
      </c>
      <c r="Z363" s="155" t="s">
        <v>57</v>
      </c>
      <c r="AA363" s="156" t="s">
        <v>42</v>
      </c>
      <c r="AB363" s="157" t="s">
        <v>58</v>
      </c>
      <c r="AC363" s="158" t="s">
        <v>59</v>
      </c>
      <c r="AD363" s="153" t="s">
        <v>54</v>
      </c>
      <c r="AE363" s="153" t="s">
        <v>60</v>
      </c>
      <c r="AF363" s="159" t="s">
        <v>61</v>
      </c>
      <c r="AG363" s="159" t="s">
        <v>62</v>
      </c>
      <c r="AH363" s="159" t="s">
        <v>63</v>
      </c>
      <c r="AI363" s="159" t="s">
        <v>64</v>
      </c>
      <c r="AJ363" s="159" t="s">
        <v>64</v>
      </c>
      <c r="AK363" s="197" t="s">
        <v>64</v>
      </c>
      <c r="AL363" s="42"/>
      <c r="AM363" s="42"/>
      <c r="AN363" s="42"/>
      <c r="AO363" s="42"/>
    </row>
    <row r="364" spans="1:41" s="18" customFormat="1" ht="84.75" customHeight="1" thickBot="1" x14ac:dyDescent="0.25">
      <c r="A364" s="1"/>
      <c r="B364" s="196" t="s">
        <v>42</v>
      </c>
      <c r="C364" s="143">
        <v>1320</v>
      </c>
      <c r="D364" s="143" t="s">
        <v>150</v>
      </c>
      <c r="E364" s="143" t="s">
        <v>44</v>
      </c>
      <c r="F364" s="175" t="s">
        <v>950</v>
      </c>
      <c r="G364" s="175" t="s">
        <v>951</v>
      </c>
      <c r="H364" s="175" t="s">
        <v>977</v>
      </c>
      <c r="I364" s="176">
        <v>700000</v>
      </c>
      <c r="J364" s="177" t="s">
        <v>48</v>
      </c>
      <c r="K364" s="177" t="s">
        <v>48</v>
      </c>
      <c r="L364" s="178" t="s">
        <v>639</v>
      </c>
      <c r="M364" s="143" t="s">
        <v>949</v>
      </c>
      <c r="N364" s="145" t="str">
        <f t="shared" si="38"/>
        <v>Amparar la compra de equipos, para abastecer el servicio de agua potable en la sección de educación inicial IPN (escuela maternal), en el marco las medidas de racionamiento de agua en la ciudad de Bogotá.</v>
      </c>
      <c r="O364" s="153">
        <v>6</v>
      </c>
      <c r="P364" s="146">
        <v>7</v>
      </c>
      <c r="Q364" s="147">
        <v>5</v>
      </c>
      <c r="R364" s="148" t="s">
        <v>51</v>
      </c>
      <c r="S364" s="149" t="s">
        <v>536</v>
      </c>
      <c r="T364" s="150" t="s">
        <v>53</v>
      </c>
      <c r="U364" s="151">
        <f t="shared" si="36"/>
        <v>700000</v>
      </c>
      <c r="V364" s="152">
        <f t="shared" si="37"/>
        <v>700000</v>
      </c>
      <c r="W364" s="153" t="s">
        <v>54</v>
      </c>
      <c r="X364" s="153" t="s">
        <v>55</v>
      </c>
      <c r="Y364" s="154" t="s">
        <v>56</v>
      </c>
      <c r="Z364" s="155" t="s">
        <v>57</v>
      </c>
      <c r="AA364" s="156" t="s">
        <v>42</v>
      </c>
      <c r="AB364" s="157" t="s">
        <v>58</v>
      </c>
      <c r="AC364" s="158" t="s">
        <v>59</v>
      </c>
      <c r="AD364" s="153" t="s">
        <v>54</v>
      </c>
      <c r="AE364" s="153" t="s">
        <v>60</v>
      </c>
      <c r="AF364" s="159" t="s">
        <v>61</v>
      </c>
      <c r="AG364" s="159" t="s">
        <v>62</v>
      </c>
      <c r="AH364" s="159" t="s">
        <v>63</v>
      </c>
      <c r="AI364" s="159" t="s">
        <v>64</v>
      </c>
      <c r="AJ364" s="159" t="s">
        <v>64</v>
      </c>
      <c r="AK364" s="197" t="s">
        <v>64</v>
      </c>
      <c r="AL364" s="29"/>
      <c r="AM364" s="29"/>
      <c r="AN364" s="29"/>
      <c r="AO364" s="29"/>
    </row>
    <row r="365" spans="1:41" s="18" customFormat="1" ht="84.75" customHeight="1" thickBot="1" x14ac:dyDescent="0.25">
      <c r="A365" s="1"/>
      <c r="B365" s="196" t="s">
        <v>42</v>
      </c>
      <c r="C365" s="143">
        <v>1320</v>
      </c>
      <c r="D365" s="143" t="s">
        <v>150</v>
      </c>
      <c r="E365" s="143" t="s">
        <v>44</v>
      </c>
      <c r="F365" s="175" t="s">
        <v>111</v>
      </c>
      <c r="G365" s="175" t="s">
        <v>112</v>
      </c>
      <c r="H365" s="175" t="s">
        <v>978</v>
      </c>
      <c r="I365" s="176">
        <v>14035335</v>
      </c>
      <c r="J365" s="177" t="s">
        <v>575</v>
      </c>
      <c r="K365" s="177" t="s">
        <v>48</v>
      </c>
      <c r="L365" s="178" t="s">
        <v>979</v>
      </c>
      <c r="M365" s="143" t="s">
        <v>980</v>
      </c>
      <c r="N365" s="145" t="str">
        <f t="shared" si="38"/>
        <v>Adición al contrato 269 de 2024 con objeto “Suministrar elementos de aseo y desinfección para los diferentes predios de la Universidad Pedagógica Nacional”</v>
      </c>
      <c r="O365" s="153">
        <v>6</v>
      </c>
      <c r="P365" s="146">
        <v>7</v>
      </c>
      <c r="Q365" s="147">
        <v>5</v>
      </c>
      <c r="R365" s="148" t="s">
        <v>51</v>
      </c>
      <c r="S365" s="149" t="s">
        <v>536</v>
      </c>
      <c r="T365" s="150" t="s">
        <v>53</v>
      </c>
      <c r="U365" s="151">
        <f t="shared" si="36"/>
        <v>14035335</v>
      </c>
      <c r="V365" s="152">
        <f t="shared" si="37"/>
        <v>14035335</v>
      </c>
      <c r="W365" s="153" t="s">
        <v>54</v>
      </c>
      <c r="X365" s="153" t="s">
        <v>55</v>
      </c>
      <c r="Y365" s="154" t="s">
        <v>56</v>
      </c>
      <c r="Z365" s="155" t="s">
        <v>57</v>
      </c>
      <c r="AA365" s="156" t="s">
        <v>42</v>
      </c>
      <c r="AB365" s="157" t="s">
        <v>58</v>
      </c>
      <c r="AC365" s="158" t="s">
        <v>59</v>
      </c>
      <c r="AD365" s="153" t="s">
        <v>54</v>
      </c>
      <c r="AE365" s="153" t="s">
        <v>60</v>
      </c>
      <c r="AF365" s="159" t="s">
        <v>61</v>
      </c>
      <c r="AG365" s="159" t="s">
        <v>62</v>
      </c>
      <c r="AH365" s="159" t="s">
        <v>63</v>
      </c>
      <c r="AI365" s="159" t="s">
        <v>64</v>
      </c>
      <c r="AJ365" s="159" t="s">
        <v>64</v>
      </c>
      <c r="AK365" s="197" t="s">
        <v>64</v>
      </c>
      <c r="AL365" s="29"/>
      <c r="AM365" s="29"/>
      <c r="AN365" s="29"/>
      <c r="AO365" s="29"/>
    </row>
    <row r="366" spans="1:41" s="18" customFormat="1" ht="84.75" customHeight="1" thickBot="1" x14ac:dyDescent="0.25">
      <c r="A366" s="1"/>
      <c r="B366" s="196" t="s">
        <v>42</v>
      </c>
      <c r="C366" s="143">
        <v>1311</v>
      </c>
      <c r="D366" s="143" t="s">
        <v>283</v>
      </c>
      <c r="E366" s="143" t="s">
        <v>44</v>
      </c>
      <c r="F366" s="175" t="s">
        <v>111</v>
      </c>
      <c r="G366" s="175" t="s">
        <v>112</v>
      </c>
      <c r="H366" s="175" t="s">
        <v>981</v>
      </c>
      <c r="I366" s="176">
        <v>128152783</v>
      </c>
      <c r="J366" s="177" t="s">
        <v>60</v>
      </c>
      <c r="K366" s="177" t="s">
        <v>48</v>
      </c>
      <c r="L366" s="178" t="s">
        <v>982</v>
      </c>
      <c r="M366" s="143" t="s">
        <v>983</v>
      </c>
      <c r="N366" s="145" t="str">
        <f t="shared" si="38"/>
        <v>Adquirir pupitres y tableros para el desarrollo de las actividades académicas en el marco de la estrategia para la ampliación de la cobertura de educación de la Universidad Pedagógica Nacional</v>
      </c>
      <c r="O366" s="153">
        <v>7</v>
      </c>
      <c r="P366" s="146">
        <v>8</v>
      </c>
      <c r="Q366" s="147">
        <v>4</v>
      </c>
      <c r="R366" s="148" t="s">
        <v>51</v>
      </c>
      <c r="S366" s="149" t="s">
        <v>536</v>
      </c>
      <c r="T366" s="150" t="s">
        <v>145</v>
      </c>
      <c r="U366" s="151">
        <f t="shared" si="36"/>
        <v>128152783</v>
      </c>
      <c r="V366" s="152">
        <f t="shared" si="37"/>
        <v>128152783</v>
      </c>
      <c r="W366" s="153" t="s">
        <v>54</v>
      </c>
      <c r="X366" s="153" t="s">
        <v>55</v>
      </c>
      <c r="Y366" s="154" t="s">
        <v>56</v>
      </c>
      <c r="Z366" s="155" t="s">
        <v>57</v>
      </c>
      <c r="AA366" s="156" t="s">
        <v>42</v>
      </c>
      <c r="AB366" s="157" t="s">
        <v>58</v>
      </c>
      <c r="AC366" s="158" t="s">
        <v>59</v>
      </c>
      <c r="AD366" s="153" t="s">
        <v>54</v>
      </c>
      <c r="AE366" s="153" t="s">
        <v>60</v>
      </c>
      <c r="AF366" s="159" t="s">
        <v>61</v>
      </c>
      <c r="AG366" s="159" t="s">
        <v>62</v>
      </c>
      <c r="AH366" s="159" t="s">
        <v>63</v>
      </c>
      <c r="AI366" s="159" t="s">
        <v>64</v>
      </c>
      <c r="AJ366" s="159" t="s">
        <v>64</v>
      </c>
      <c r="AK366" s="197" t="s">
        <v>64</v>
      </c>
      <c r="AL366" s="29"/>
      <c r="AM366" s="29"/>
      <c r="AN366" s="29"/>
      <c r="AO366" s="29"/>
    </row>
    <row r="367" spans="1:41" s="18" customFormat="1" ht="84.75" customHeight="1" thickBot="1" x14ac:dyDescent="0.25">
      <c r="A367" s="1"/>
      <c r="B367" s="196" t="s">
        <v>42</v>
      </c>
      <c r="C367" s="143">
        <v>1311</v>
      </c>
      <c r="D367" s="143" t="s">
        <v>283</v>
      </c>
      <c r="E367" s="143" t="s">
        <v>44</v>
      </c>
      <c r="F367" s="175" t="s">
        <v>123</v>
      </c>
      <c r="G367" s="175" t="s">
        <v>124</v>
      </c>
      <c r="H367" s="175" t="s">
        <v>881</v>
      </c>
      <c r="I367" s="176">
        <f>239161806 - 19188274.4718464</f>
        <v>219973531.5281536</v>
      </c>
      <c r="J367" s="177" t="s">
        <v>575</v>
      </c>
      <c r="K367" s="177" t="s">
        <v>48</v>
      </c>
      <c r="L367" s="178" t="s">
        <v>984</v>
      </c>
      <c r="M367" s="238">
        <v>92121500</v>
      </c>
      <c r="N367" s="237" t="str">
        <f t="shared" si="38"/>
        <v xml:space="preserve">Adicionar el contrato de prestación de servicios No 005 de 2023, cuyo objeto es "Contratar la prestación del servicio de vigilancia y seguridad privada para las personas y bienes muebles e inmuebles de la Universidad Pedagógica Nacional" </v>
      </c>
      <c r="O367" s="153">
        <v>8</v>
      </c>
      <c r="P367" s="146">
        <v>9</v>
      </c>
      <c r="Q367" s="147">
        <v>3</v>
      </c>
      <c r="R367" s="148" t="s">
        <v>51</v>
      </c>
      <c r="S367" s="149" t="s">
        <v>281</v>
      </c>
      <c r="T367" s="150" t="s">
        <v>145</v>
      </c>
      <c r="U367" s="151">
        <f t="shared" si="36"/>
        <v>219973531.5281536</v>
      </c>
      <c r="V367" s="152">
        <f t="shared" si="37"/>
        <v>219973531.5281536</v>
      </c>
      <c r="W367" s="153" t="s">
        <v>54</v>
      </c>
      <c r="X367" s="153" t="s">
        <v>55</v>
      </c>
      <c r="Y367" s="154" t="s">
        <v>56</v>
      </c>
      <c r="Z367" s="155" t="s">
        <v>57</v>
      </c>
      <c r="AA367" s="156" t="s">
        <v>42</v>
      </c>
      <c r="AB367" s="157" t="s">
        <v>58</v>
      </c>
      <c r="AC367" s="158" t="s">
        <v>59</v>
      </c>
      <c r="AD367" s="153" t="s">
        <v>54</v>
      </c>
      <c r="AE367" s="153" t="s">
        <v>60</v>
      </c>
      <c r="AF367" s="159" t="s">
        <v>61</v>
      </c>
      <c r="AG367" s="159" t="s">
        <v>62</v>
      </c>
      <c r="AH367" s="159" t="s">
        <v>63</v>
      </c>
      <c r="AI367" s="159" t="s">
        <v>64</v>
      </c>
      <c r="AJ367" s="159" t="s">
        <v>64</v>
      </c>
      <c r="AK367" s="197" t="s">
        <v>64</v>
      </c>
      <c r="AL367" s="29"/>
      <c r="AM367" s="29"/>
      <c r="AN367" s="29"/>
      <c r="AO367" s="29"/>
    </row>
    <row r="368" spans="1:41" s="18" customFormat="1" ht="84.75" customHeight="1" thickBot="1" x14ac:dyDescent="0.25">
      <c r="A368" s="1"/>
      <c r="B368" s="196" t="s">
        <v>42</v>
      </c>
      <c r="C368" s="143">
        <v>1320</v>
      </c>
      <c r="D368" s="143" t="s">
        <v>150</v>
      </c>
      <c r="E368" s="143" t="s">
        <v>44</v>
      </c>
      <c r="F368" s="175" t="s">
        <v>123</v>
      </c>
      <c r="G368" s="175" t="s">
        <v>124</v>
      </c>
      <c r="H368" s="175" t="s">
        <v>881</v>
      </c>
      <c r="I368" s="176">
        <v>53302274</v>
      </c>
      <c r="J368" s="177" t="s">
        <v>575</v>
      </c>
      <c r="K368" s="177" t="s">
        <v>48</v>
      </c>
      <c r="L368" s="178" t="s">
        <v>984</v>
      </c>
      <c r="M368" s="238"/>
      <c r="N368" s="237"/>
      <c r="O368" s="153">
        <v>8</v>
      </c>
      <c r="P368" s="146">
        <v>9</v>
      </c>
      <c r="Q368" s="147">
        <v>3</v>
      </c>
      <c r="R368" s="148" t="s">
        <v>51</v>
      </c>
      <c r="S368" s="149" t="s">
        <v>281</v>
      </c>
      <c r="T368" s="150" t="s">
        <v>282</v>
      </c>
      <c r="U368" s="151">
        <f t="shared" si="36"/>
        <v>53302274</v>
      </c>
      <c r="V368" s="152">
        <f t="shared" si="37"/>
        <v>53302274</v>
      </c>
      <c r="W368" s="153" t="s">
        <v>54</v>
      </c>
      <c r="X368" s="153" t="s">
        <v>55</v>
      </c>
      <c r="Y368" s="154" t="s">
        <v>56</v>
      </c>
      <c r="Z368" s="155" t="s">
        <v>57</v>
      </c>
      <c r="AA368" s="156" t="s">
        <v>42</v>
      </c>
      <c r="AB368" s="157" t="s">
        <v>58</v>
      </c>
      <c r="AC368" s="158" t="s">
        <v>59</v>
      </c>
      <c r="AD368" s="153" t="s">
        <v>54</v>
      </c>
      <c r="AE368" s="153" t="s">
        <v>60</v>
      </c>
      <c r="AF368" s="159" t="s">
        <v>61</v>
      </c>
      <c r="AG368" s="159" t="s">
        <v>62</v>
      </c>
      <c r="AH368" s="159" t="s">
        <v>63</v>
      </c>
      <c r="AI368" s="159" t="s">
        <v>64</v>
      </c>
      <c r="AJ368" s="159" t="s">
        <v>64</v>
      </c>
      <c r="AK368" s="197" t="s">
        <v>64</v>
      </c>
      <c r="AL368" s="29"/>
      <c r="AM368" s="29"/>
      <c r="AN368" s="29"/>
      <c r="AO368" s="29"/>
    </row>
    <row r="369" spans="1:41" ht="84.75" customHeight="1" thickBot="1" x14ac:dyDescent="0.25">
      <c r="A369" s="1"/>
      <c r="B369" s="196" t="s">
        <v>42</v>
      </c>
      <c r="C369" s="143">
        <v>1311</v>
      </c>
      <c r="D369" s="143" t="s">
        <v>283</v>
      </c>
      <c r="E369" s="143" t="s">
        <v>44</v>
      </c>
      <c r="F369" s="175" t="s">
        <v>123</v>
      </c>
      <c r="G369" s="175" t="s">
        <v>124</v>
      </c>
      <c r="H369" s="175" t="s">
        <v>883</v>
      </c>
      <c r="I369" s="176">
        <v>93564000</v>
      </c>
      <c r="J369" s="177" t="s">
        <v>575</v>
      </c>
      <c r="K369" s="177" t="s">
        <v>48</v>
      </c>
      <c r="L369" s="178" t="s">
        <v>985</v>
      </c>
      <c r="M369" s="143">
        <v>76111500</v>
      </c>
      <c r="N369" s="145" t="str">
        <f>H369</f>
        <v>Adicionar el contrato de prestación de servicios No 004 de 2023, cuyo objeto es "Contratar el servicio de aseo y cafetería para la Universidad Pedagógica Nacional"</v>
      </c>
      <c r="O369" s="153">
        <v>7</v>
      </c>
      <c r="P369" s="146">
        <v>8</v>
      </c>
      <c r="Q369" s="147">
        <v>4</v>
      </c>
      <c r="R369" s="148" t="s">
        <v>51</v>
      </c>
      <c r="S369" s="149" t="s">
        <v>286</v>
      </c>
      <c r="T369" s="150" t="s">
        <v>145</v>
      </c>
      <c r="U369" s="151">
        <f t="shared" si="36"/>
        <v>93564000</v>
      </c>
      <c r="V369" s="152">
        <f t="shared" si="37"/>
        <v>93564000</v>
      </c>
      <c r="W369" s="153" t="s">
        <v>54</v>
      </c>
      <c r="X369" s="153" t="s">
        <v>55</v>
      </c>
      <c r="Y369" s="154" t="s">
        <v>56</v>
      </c>
      <c r="Z369" s="155" t="s">
        <v>57</v>
      </c>
      <c r="AA369" s="156" t="s">
        <v>42</v>
      </c>
      <c r="AB369" s="157" t="s">
        <v>58</v>
      </c>
      <c r="AC369" s="158" t="s">
        <v>59</v>
      </c>
      <c r="AD369" s="153" t="s">
        <v>54</v>
      </c>
      <c r="AE369" s="153" t="s">
        <v>60</v>
      </c>
      <c r="AF369" s="159" t="s">
        <v>61</v>
      </c>
      <c r="AG369" s="159" t="s">
        <v>62</v>
      </c>
      <c r="AH369" s="159" t="s">
        <v>63</v>
      </c>
      <c r="AI369" s="159" t="s">
        <v>64</v>
      </c>
      <c r="AJ369" s="159" t="s">
        <v>64</v>
      </c>
      <c r="AK369" s="197" t="s">
        <v>64</v>
      </c>
    </row>
    <row r="370" spans="1:41" ht="84.75" customHeight="1" thickBot="1" x14ac:dyDescent="0.25">
      <c r="A370" s="1"/>
      <c r="B370" s="196" t="s">
        <v>42</v>
      </c>
      <c r="C370" s="143">
        <v>1480</v>
      </c>
      <c r="D370" s="143" t="s">
        <v>136</v>
      </c>
      <c r="E370" s="143" t="s">
        <v>132</v>
      </c>
      <c r="F370" s="175" t="s">
        <v>126</v>
      </c>
      <c r="G370" s="175" t="s">
        <v>127</v>
      </c>
      <c r="H370" s="175" t="s">
        <v>986</v>
      </c>
      <c r="I370" s="176">
        <v>73500000</v>
      </c>
      <c r="J370" s="177" t="s">
        <v>60</v>
      </c>
      <c r="K370" s="177" t="s">
        <v>48</v>
      </c>
      <c r="L370" s="178" t="s">
        <v>987</v>
      </c>
      <c r="M370" s="143">
        <v>90151800</v>
      </c>
      <c r="N370" s="145" t="str">
        <f>H370</f>
        <v>Prestar los servicios para el desarrollo de un programa piloto para la atención de promoción y prevención interdisciplinar a las necesidades y condiciones de salud mental, identificada en la comunidad estudiantil para la reducción de riesgo en la deserción.</v>
      </c>
      <c r="O370" s="153">
        <v>7</v>
      </c>
      <c r="P370" s="146">
        <v>8</v>
      </c>
      <c r="Q370" s="147">
        <v>4</v>
      </c>
      <c r="R370" s="148" t="s">
        <v>51</v>
      </c>
      <c r="S370" s="149" t="s">
        <v>771</v>
      </c>
      <c r="T370" s="150" t="s">
        <v>282</v>
      </c>
      <c r="U370" s="151">
        <f t="shared" si="36"/>
        <v>73500000</v>
      </c>
      <c r="V370" s="152">
        <f t="shared" si="37"/>
        <v>73500000</v>
      </c>
      <c r="W370" s="153" t="s">
        <v>54</v>
      </c>
      <c r="X370" s="153" t="s">
        <v>55</v>
      </c>
      <c r="Y370" s="154" t="s">
        <v>56</v>
      </c>
      <c r="Z370" s="155" t="s">
        <v>57</v>
      </c>
      <c r="AA370" s="156" t="s">
        <v>42</v>
      </c>
      <c r="AB370" s="157" t="s">
        <v>58</v>
      </c>
      <c r="AC370" s="158" t="s">
        <v>59</v>
      </c>
      <c r="AD370" s="153" t="s">
        <v>54</v>
      </c>
      <c r="AE370" s="153" t="s">
        <v>60</v>
      </c>
      <c r="AF370" s="159" t="s">
        <v>61</v>
      </c>
      <c r="AG370" s="159" t="s">
        <v>62</v>
      </c>
      <c r="AH370" s="159" t="s">
        <v>63</v>
      </c>
      <c r="AI370" s="159" t="s">
        <v>64</v>
      </c>
      <c r="AJ370" s="159" t="s">
        <v>64</v>
      </c>
      <c r="AK370" s="197" t="s">
        <v>64</v>
      </c>
    </row>
    <row r="371" spans="1:41" ht="84.75" customHeight="1" thickBot="1" x14ac:dyDescent="0.25">
      <c r="A371" s="1"/>
      <c r="B371" s="196" t="s">
        <v>240</v>
      </c>
      <c r="C371" s="143">
        <v>1322</v>
      </c>
      <c r="D371" s="143" t="s">
        <v>554</v>
      </c>
      <c r="E371" s="143" t="s">
        <v>242</v>
      </c>
      <c r="F371" s="175" t="s">
        <v>111</v>
      </c>
      <c r="G371" s="175" t="s">
        <v>112</v>
      </c>
      <c r="H371" s="175" t="s">
        <v>988</v>
      </c>
      <c r="I371" s="176">
        <v>37615900</v>
      </c>
      <c r="J371" s="177" t="s">
        <v>575</v>
      </c>
      <c r="K371" s="177" t="s">
        <v>48</v>
      </c>
      <c r="L371" s="178" t="s">
        <v>989</v>
      </c>
      <c r="M371" s="143">
        <v>55121800</v>
      </c>
      <c r="N371" s="145" t="str">
        <f>H371</f>
        <v>Adición al contrato No. 153 del 2024 cuyo objeto es "Adquirir carnés para la comunidad universitaria, atendiendo los requerimientos establecidos por la UPN"</v>
      </c>
      <c r="O371" s="153">
        <v>7</v>
      </c>
      <c r="P371" s="146">
        <v>8</v>
      </c>
      <c r="Q371" s="147">
        <v>4</v>
      </c>
      <c r="R371" s="148" t="s">
        <v>51</v>
      </c>
      <c r="S371" s="149" t="s">
        <v>560</v>
      </c>
      <c r="T371" s="150" t="s">
        <v>282</v>
      </c>
      <c r="U371" s="151">
        <f t="shared" si="36"/>
        <v>37615900</v>
      </c>
      <c r="V371" s="152">
        <f t="shared" si="37"/>
        <v>37615900</v>
      </c>
      <c r="W371" s="153" t="s">
        <v>54</v>
      </c>
      <c r="X371" s="153" t="s">
        <v>55</v>
      </c>
      <c r="Y371" s="154" t="s">
        <v>56</v>
      </c>
      <c r="Z371" s="155" t="s">
        <v>57</v>
      </c>
      <c r="AA371" s="156" t="s">
        <v>240</v>
      </c>
      <c r="AB371" s="157" t="s">
        <v>58</v>
      </c>
      <c r="AC371" s="158" t="s">
        <v>59</v>
      </c>
      <c r="AD371" s="153" t="s">
        <v>54</v>
      </c>
      <c r="AE371" s="153" t="s">
        <v>60</v>
      </c>
      <c r="AF371" s="159" t="s">
        <v>61</v>
      </c>
      <c r="AG371" s="159" t="s">
        <v>62</v>
      </c>
      <c r="AH371" s="159" t="s">
        <v>63</v>
      </c>
      <c r="AI371" s="159" t="s">
        <v>64</v>
      </c>
      <c r="AJ371" s="159" t="s">
        <v>64</v>
      </c>
      <c r="AK371" s="197" t="s">
        <v>64</v>
      </c>
    </row>
    <row r="372" spans="1:41" s="30" customFormat="1" ht="84.75" customHeight="1" thickBot="1" x14ac:dyDescent="0.25">
      <c r="A372" s="1"/>
      <c r="B372" s="196" t="s">
        <v>42</v>
      </c>
      <c r="C372" s="143">
        <v>1470</v>
      </c>
      <c r="D372" s="143" t="s">
        <v>131</v>
      </c>
      <c r="E372" s="143" t="s">
        <v>132</v>
      </c>
      <c r="F372" s="175" t="s">
        <v>756</v>
      </c>
      <c r="G372" s="175" t="s">
        <v>757</v>
      </c>
      <c r="H372" s="175" t="s">
        <v>990</v>
      </c>
      <c r="I372" s="176">
        <v>10472000</v>
      </c>
      <c r="J372" s="177" t="s">
        <v>60</v>
      </c>
      <c r="K372" s="177" t="s">
        <v>48</v>
      </c>
      <c r="L372" s="178" t="s">
        <v>991</v>
      </c>
      <c r="M372" s="143">
        <v>95141900</v>
      </c>
      <c r="N372" s="161" t="str">
        <f>H372</f>
        <v>Adquirir unidad odontologica, requerida para el funcionamiento del programa de Salud de la SBU.</v>
      </c>
      <c r="O372" s="153">
        <v>7</v>
      </c>
      <c r="P372" s="146">
        <v>8</v>
      </c>
      <c r="Q372" s="147">
        <v>4</v>
      </c>
      <c r="R372" s="148" t="s">
        <v>51</v>
      </c>
      <c r="S372" s="149" t="s">
        <v>742</v>
      </c>
      <c r="T372" s="150" t="s">
        <v>53</v>
      </c>
      <c r="U372" s="151">
        <f t="shared" si="36"/>
        <v>10472000</v>
      </c>
      <c r="V372" s="152">
        <f t="shared" si="37"/>
        <v>10472000</v>
      </c>
      <c r="W372" s="153" t="s">
        <v>54</v>
      </c>
      <c r="X372" s="153" t="s">
        <v>55</v>
      </c>
      <c r="Y372" s="154" t="s">
        <v>56</v>
      </c>
      <c r="Z372" s="155" t="s">
        <v>57</v>
      </c>
      <c r="AA372" s="156" t="s">
        <v>42</v>
      </c>
      <c r="AB372" s="157" t="s">
        <v>58</v>
      </c>
      <c r="AC372" s="158" t="s">
        <v>59</v>
      </c>
      <c r="AD372" s="153" t="s">
        <v>54</v>
      </c>
      <c r="AE372" s="153" t="s">
        <v>60</v>
      </c>
      <c r="AF372" s="159" t="s">
        <v>61</v>
      </c>
      <c r="AG372" s="159" t="s">
        <v>62</v>
      </c>
      <c r="AH372" s="159" t="s">
        <v>63</v>
      </c>
      <c r="AI372" s="159" t="s">
        <v>64</v>
      </c>
      <c r="AJ372" s="159" t="s">
        <v>64</v>
      </c>
      <c r="AK372" s="197" t="s">
        <v>64</v>
      </c>
      <c r="AL372" s="42"/>
      <c r="AM372" s="42"/>
      <c r="AN372" s="42"/>
      <c r="AO372" s="42"/>
    </row>
    <row r="373" spans="1:41" ht="84.75" customHeight="1" thickBot="1" x14ac:dyDescent="0.25">
      <c r="A373" s="1"/>
      <c r="B373" s="196" t="s">
        <v>42</v>
      </c>
      <c r="C373" s="143">
        <v>1320</v>
      </c>
      <c r="D373" s="143" t="s">
        <v>150</v>
      </c>
      <c r="E373" s="143" t="s">
        <v>44</v>
      </c>
      <c r="F373" s="175" t="s">
        <v>117</v>
      </c>
      <c r="G373" s="175" t="s">
        <v>118</v>
      </c>
      <c r="H373" s="175" t="s">
        <v>992</v>
      </c>
      <c r="I373" s="176">
        <v>151265513</v>
      </c>
      <c r="J373" s="177" t="s">
        <v>993</v>
      </c>
      <c r="K373" s="177" t="s">
        <v>48</v>
      </c>
      <c r="L373" s="178" t="s">
        <v>994</v>
      </c>
      <c r="M373" s="143">
        <v>78111800</v>
      </c>
      <c r="N373" s="145" t="str">
        <f>H373</f>
        <v>Adición al contrato 276 del 2024 cuyo objeto es "Prestar el servicio de transporte terrestre para las salidas académicas y administrativas de la Universidad Pedagógica Nacional"</v>
      </c>
      <c r="O373" s="153">
        <v>7</v>
      </c>
      <c r="P373" s="146">
        <v>8</v>
      </c>
      <c r="Q373" s="147">
        <v>4</v>
      </c>
      <c r="R373" s="148" t="s">
        <v>51</v>
      </c>
      <c r="S373" s="149" t="s">
        <v>270</v>
      </c>
      <c r="T373" s="150" t="s">
        <v>282</v>
      </c>
      <c r="U373" s="151">
        <f t="shared" si="36"/>
        <v>151265513</v>
      </c>
      <c r="V373" s="152">
        <f t="shared" si="37"/>
        <v>151265513</v>
      </c>
      <c r="W373" s="153" t="s">
        <v>54</v>
      </c>
      <c r="X373" s="153" t="s">
        <v>55</v>
      </c>
      <c r="Y373" s="154" t="s">
        <v>56</v>
      </c>
      <c r="Z373" s="155" t="s">
        <v>57</v>
      </c>
      <c r="AA373" s="156" t="s">
        <v>42</v>
      </c>
      <c r="AB373" s="157" t="s">
        <v>58</v>
      </c>
      <c r="AC373" s="158" t="s">
        <v>59</v>
      </c>
      <c r="AD373" s="153" t="s">
        <v>54</v>
      </c>
      <c r="AE373" s="153" t="s">
        <v>60</v>
      </c>
      <c r="AF373" s="159" t="s">
        <v>61</v>
      </c>
      <c r="AG373" s="159" t="s">
        <v>62</v>
      </c>
      <c r="AH373" s="159" t="s">
        <v>63</v>
      </c>
      <c r="AI373" s="159" t="s">
        <v>64</v>
      </c>
      <c r="AJ373" s="159" t="s">
        <v>64</v>
      </c>
      <c r="AK373" s="197" t="s">
        <v>64</v>
      </c>
    </row>
    <row r="374" spans="1:41" ht="84.75" customHeight="1" thickBot="1" x14ac:dyDescent="0.25">
      <c r="B374" s="196" t="s">
        <v>42</v>
      </c>
      <c r="C374" s="143">
        <v>1450</v>
      </c>
      <c r="D374" s="143" t="s">
        <v>736</v>
      </c>
      <c r="E374" s="143" t="s">
        <v>132</v>
      </c>
      <c r="F374" s="175" t="s">
        <v>126</v>
      </c>
      <c r="G374" s="175" t="s">
        <v>127</v>
      </c>
      <c r="H374" s="175" t="s">
        <v>995</v>
      </c>
      <c r="I374" s="176">
        <f>12000000+13400000</f>
        <v>25400000</v>
      </c>
      <c r="J374" s="177" t="s">
        <v>60</v>
      </c>
      <c r="K374" s="177" t="s">
        <v>48</v>
      </c>
      <c r="L374" s="178" t="s">
        <v>996</v>
      </c>
      <c r="M374" s="143">
        <v>90151800</v>
      </c>
      <c r="N374" s="145" t="s">
        <v>995</v>
      </c>
      <c r="O374" s="153">
        <v>7</v>
      </c>
      <c r="P374" s="146">
        <v>8</v>
      </c>
      <c r="Q374" s="147">
        <v>4</v>
      </c>
      <c r="R374" s="148" t="s">
        <v>51</v>
      </c>
      <c r="S374" s="149" t="s">
        <v>270</v>
      </c>
      <c r="T374" s="150" t="s">
        <v>282</v>
      </c>
      <c r="U374" s="151">
        <f t="shared" si="36"/>
        <v>25400000</v>
      </c>
      <c r="V374" s="152">
        <f t="shared" si="37"/>
        <v>25400000</v>
      </c>
      <c r="W374" s="153" t="s">
        <v>54</v>
      </c>
      <c r="X374" s="153" t="s">
        <v>55</v>
      </c>
      <c r="Y374" s="154" t="s">
        <v>56</v>
      </c>
      <c r="Z374" s="155" t="s">
        <v>57</v>
      </c>
      <c r="AA374" s="156" t="s">
        <v>42</v>
      </c>
      <c r="AB374" s="157" t="s">
        <v>58</v>
      </c>
      <c r="AC374" s="158" t="s">
        <v>59</v>
      </c>
      <c r="AD374" s="153" t="s">
        <v>54</v>
      </c>
      <c r="AE374" s="153" t="s">
        <v>60</v>
      </c>
      <c r="AF374" s="159" t="s">
        <v>61</v>
      </c>
      <c r="AG374" s="159" t="s">
        <v>62</v>
      </c>
      <c r="AH374" s="159" t="s">
        <v>63</v>
      </c>
      <c r="AI374" s="159" t="s">
        <v>64</v>
      </c>
      <c r="AJ374" s="159" t="s">
        <v>64</v>
      </c>
      <c r="AK374" s="197" t="s">
        <v>64</v>
      </c>
    </row>
    <row r="375" spans="1:41" ht="84.75" customHeight="1" thickBot="1" x14ac:dyDescent="0.25">
      <c r="B375" s="196" t="s">
        <v>42</v>
      </c>
      <c r="C375" s="143">
        <v>1450</v>
      </c>
      <c r="D375" s="143" t="s">
        <v>736</v>
      </c>
      <c r="E375" s="143" t="s">
        <v>132</v>
      </c>
      <c r="F375" s="175" t="s">
        <v>111</v>
      </c>
      <c r="G375" s="175" t="s">
        <v>112</v>
      </c>
      <c r="H375" s="175" t="s">
        <v>997</v>
      </c>
      <c r="I375" s="176">
        <v>1898347</v>
      </c>
      <c r="J375" s="177" t="s">
        <v>60</v>
      </c>
      <c r="K375" s="177" t="s">
        <v>48</v>
      </c>
      <c r="L375" s="178" t="s">
        <v>998</v>
      </c>
      <c r="M375" s="143">
        <v>24122000</v>
      </c>
      <c r="N375" s="237" t="s">
        <v>997</v>
      </c>
      <c r="O375" s="153">
        <v>7</v>
      </c>
      <c r="P375" s="146">
        <v>8</v>
      </c>
      <c r="Q375" s="147">
        <v>4</v>
      </c>
      <c r="R375" s="148" t="s">
        <v>51</v>
      </c>
      <c r="S375" s="149" t="s">
        <v>270</v>
      </c>
      <c r="T375" s="150" t="s">
        <v>282</v>
      </c>
      <c r="U375" s="151">
        <f t="shared" si="36"/>
        <v>1898347</v>
      </c>
      <c r="V375" s="152">
        <f t="shared" si="37"/>
        <v>1898347</v>
      </c>
      <c r="W375" s="153" t="s">
        <v>54</v>
      </c>
      <c r="X375" s="153" t="s">
        <v>55</v>
      </c>
      <c r="Y375" s="154" t="s">
        <v>56</v>
      </c>
      <c r="Z375" s="155" t="s">
        <v>57</v>
      </c>
      <c r="AA375" s="156" t="s">
        <v>42</v>
      </c>
      <c r="AB375" s="157" t="s">
        <v>58</v>
      </c>
      <c r="AC375" s="158" t="s">
        <v>59</v>
      </c>
      <c r="AD375" s="153" t="s">
        <v>54</v>
      </c>
      <c r="AE375" s="153" t="s">
        <v>60</v>
      </c>
      <c r="AF375" s="159" t="s">
        <v>61</v>
      </c>
      <c r="AG375" s="159" t="s">
        <v>62</v>
      </c>
      <c r="AH375" s="159" t="s">
        <v>63</v>
      </c>
      <c r="AI375" s="159" t="s">
        <v>64</v>
      </c>
      <c r="AJ375" s="159" t="s">
        <v>64</v>
      </c>
      <c r="AK375" s="197" t="s">
        <v>64</v>
      </c>
    </row>
    <row r="376" spans="1:41" ht="84.75" customHeight="1" thickBot="1" x14ac:dyDescent="0.25">
      <c r="B376" s="196" t="s">
        <v>42</v>
      </c>
      <c r="C376" s="143">
        <v>1450</v>
      </c>
      <c r="D376" s="143" t="s">
        <v>736</v>
      </c>
      <c r="E376" s="143" t="s">
        <v>132</v>
      </c>
      <c r="F376" s="175" t="s">
        <v>128</v>
      </c>
      <c r="G376" s="175" t="s">
        <v>129</v>
      </c>
      <c r="H376" s="175" t="s">
        <v>997</v>
      </c>
      <c r="I376" s="176">
        <f>1011262+1087465</f>
        <v>2098727</v>
      </c>
      <c r="J376" s="177" t="s">
        <v>60</v>
      </c>
      <c r="K376" s="177" t="s">
        <v>48</v>
      </c>
      <c r="L376" s="178" t="s">
        <v>998</v>
      </c>
      <c r="M376" s="143" t="s">
        <v>999</v>
      </c>
      <c r="N376" s="237"/>
      <c r="O376" s="153">
        <v>7</v>
      </c>
      <c r="P376" s="146">
        <v>8</v>
      </c>
      <c r="Q376" s="147">
        <v>4</v>
      </c>
      <c r="R376" s="148" t="s">
        <v>51</v>
      </c>
      <c r="S376" s="149" t="s">
        <v>270</v>
      </c>
      <c r="T376" s="150" t="s">
        <v>282</v>
      </c>
      <c r="U376" s="151">
        <f t="shared" si="36"/>
        <v>2098727</v>
      </c>
      <c r="V376" s="152">
        <f t="shared" si="37"/>
        <v>2098727</v>
      </c>
      <c r="W376" s="153" t="s">
        <v>54</v>
      </c>
      <c r="X376" s="153" t="s">
        <v>55</v>
      </c>
      <c r="Y376" s="154" t="s">
        <v>56</v>
      </c>
      <c r="Z376" s="155" t="s">
        <v>57</v>
      </c>
      <c r="AA376" s="156" t="s">
        <v>42</v>
      </c>
      <c r="AB376" s="157" t="s">
        <v>58</v>
      </c>
      <c r="AC376" s="158" t="s">
        <v>59</v>
      </c>
      <c r="AD376" s="153" t="s">
        <v>54</v>
      </c>
      <c r="AE376" s="153" t="s">
        <v>60</v>
      </c>
      <c r="AF376" s="159" t="s">
        <v>61</v>
      </c>
      <c r="AG376" s="159" t="s">
        <v>62</v>
      </c>
      <c r="AH376" s="159" t="s">
        <v>63</v>
      </c>
      <c r="AI376" s="159" t="s">
        <v>64</v>
      </c>
      <c r="AJ376" s="159" t="s">
        <v>64</v>
      </c>
      <c r="AK376" s="197" t="s">
        <v>64</v>
      </c>
    </row>
    <row r="377" spans="1:41" ht="84.75" customHeight="1" thickBot="1" x14ac:dyDescent="0.25">
      <c r="A377" s="1"/>
      <c r="B377" s="196" t="s">
        <v>42</v>
      </c>
      <c r="C377" s="143">
        <v>1430</v>
      </c>
      <c r="D377" s="143" t="s">
        <v>708</v>
      </c>
      <c r="E377" s="143" t="s">
        <v>132</v>
      </c>
      <c r="F377" s="175" t="s">
        <v>126</v>
      </c>
      <c r="G377" s="175" t="s">
        <v>127</v>
      </c>
      <c r="H377" s="175" t="s">
        <v>1000</v>
      </c>
      <c r="I377" s="176">
        <v>1100000</v>
      </c>
      <c r="J377" s="177" t="s">
        <v>48</v>
      </c>
      <c r="K377" s="177" t="s">
        <v>48</v>
      </c>
      <c r="L377" s="178" t="s">
        <v>143</v>
      </c>
      <c r="M377" s="143" t="s">
        <v>50</v>
      </c>
      <c r="N377" s="145" t="str">
        <f>H377</f>
        <v>Amparar el pago de la inscripción a los juegos Universitarios Nacionales de Funcionarios Boyacá 2024.</v>
      </c>
      <c r="O377" s="153">
        <v>7</v>
      </c>
      <c r="P377" s="146">
        <v>8</v>
      </c>
      <c r="Q377" s="147">
        <v>4</v>
      </c>
      <c r="R377" s="148" t="s">
        <v>51</v>
      </c>
      <c r="S377" s="149" t="s">
        <v>718</v>
      </c>
      <c r="T377" s="150" t="s">
        <v>53</v>
      </c>
      <c r="U377" s="151">
        <f t="shared" si="36"/>
        <v>1100000</v>
      </c>
      <c r="V377" s="152">
        <f t="shared" si="37"/>
        <v>1100000</v>
      </c>
      <c r="W377" s="153" t="s">
        <v>54</v>
      </c>
      <c r="X377" s="153" t="s">
        <v>55</v>
      </c>
      <c r="Y377" s="154" t="s">
        <v>56</v>
      </c>
      <c r="Z377" s="155" t="s">
        <v>57</v>
      </c>
      <c r="AA377" s="156" t="s">
        <v>42</v>
      </c>
      <c r="AB377" s="157" t="s">
        <v>58</v>
      </c>
      <c r="AC377" s="158" t="s">
        <v>59</v>
      </c>
      <c r="AD377" s="153" t="s">
        <v>54</v>
      </c>
      <c r="AE377" s="153" t="s">
        <v>60</v>
      </c>
      <c r="AF377" s="159" t="s">
        <v>61</v>
      </c>
      <c r="AG377" s="159" t="s">
        <v>62</v>
      </c>
      <c r="AH377" s="159" t="s">
        <v>63</v>
      </c>
      <c r="AI377" s="159" t="s">
        <v>64</v>
      </c>
      <c r="AJ377" s="159" t="s">
        <v>64</v>
      </c>
      <c r="AK377" s="197" t="s">
        <v>64</v>
      </c>
    </row>
    <row r="378" spans="1:41" s="30" customFormat="1" ht="84.75" customHeight="1" thickBot="1" x14ac:dyDescent="0.25">
      <c r="A378" s="1"/>
      <c r="B378" s="196" t="s">
        <v>240</v>
      </c>
      <c r="C378" s="143">
        <v>1340</v>
      </c>
      <c r="D378" s="143" t="s">
        <v>640</v>
      </c>
      <c r="E378" s="143" t="s">
        <v>44</v>
      </c>
      <c r="F378" s="175" t="s">
        <v>111</v>
      </c>
      <c r="G378" s="175" t="s">
        <v>112</v>
      </c>
      <c r="H378" s="175" t="s">
        <v>1001</v>
      </c>
      <c r="I378" s="176">
        <f>7000000+2491098+67652</f>
        <v>9558750</v>
      </c>
      <c r="J378" s="177" t="s">
        <v>60</v>
      </c>
      <c r="K378" s="177" t="s">
        <v>48</v>
      </c>
      <c r="L378" s="178" t="s">
        <v>1002</v>
      </c>
      <c r="M378" s="238" t="s">
        <v>643</v>
      </c>
      <c r="N378" s="239" t="str">
        <f>H378</f>
        <v>Suministrar materiales, reactivos y equipos para el Laboratorio del Departamento de Física de la Universidad Pedagógica Nacional.</v>
      </c>
      <c r="O378" s="146">
        <v>10</v>
      </c>
      <c r="P378" s="146">
        <v>11</v>
      </c>
      <c r="Q378" s="147">
        <v>2</v>
      </c>
      <c r="R378" s="148" t="s">
        <v>51</v>
      </c>
      <c r="S378" s="149" t="s">
        <v>658</v>
      </c>
      <c r="T378" s="150" t="s">
        <v>53</v>
      </c>
      <c r="U378" s="151">
        <f t="shared" si="36"/>
        <v>9558750</v>
      </c>
      <c r="V378" s="152">
        <f t="shared" si="37"/>
        <v>9558750</v>
      </c>
      <c r="W378" s="153" t="s">
        <v>54</v>
      </c>
      <c r="X378" s="153" t="s">
        <v>55</v>
      </c>
      <c r="Y378" s="154" t="s">
        <v>56</v>
      </c>
      <c r="Z378" s="155" t="s">
        <v>57</v>
      </c>
      <c r="AA378" s="156" t="s">
        <v>240</v>
      </c>
      <c r="AB378" s="157" t="s">
        <v>58</v>
      </c>
      <c r="AC378" s="158" t="s">
        <v>59</v>
      </c>
      <c r="AD378" s="153" t="s">
        <v>54</v>
      </c>
      <c r="AE378" s="153" t="s">
        <v>60</v>
      </c>
      <c r="AF378" s="159" t="s">
        <v>61</v>
      </c>
      <c r="AG378" s="159" t="s">
        <v>62</v>
      </c>
      <c r="AH378" s="159" t="s">
        <v>63</v>
      </c>
      <c r="AI378" s="159" t="s">
        <v>64</v>
      </c>
      <c r="AJ378" s="159" t="s">
        <v>64</v>
      </c>
      <c r="AK378" s="197" t="s">
        <v>64</v>
      </c>
      <c r="AL378" s="42"/>
      <c r="AM378" s="42"/>
      <c r="AN378" s="42"/>
      <c r="AO378" s="42"/>
    </row>
    <row r="379" spans="1:41" s="30" customFormat="1" ht="84.75" customHeight="1" thickBot="1" x14ac:dyDescent="0.25">
      <c r="A379" s="1"/>
      <c r="B379" s="196" t="s">
        <v>240</v>
      </c>
      <c r="C379" s="143">
        <v>1340</v>
      </c>
      <c r="D379" s="143" t="s">
        <v>640</v>
      </c>
      <c r="E379" s="143" t="s">
        <v>44</v>
      </c>
      <c r="F379" s="175" t="s">
        <v>128</v>
      </c>
      <c r="G379" s="175" t="s">
        <v>129</v>
      </c>
      <c r="H379" s="175" t="s">
        <v>1001</v>
      </c>
      <c r="I379" s="176">
        <f>588839-588839</f>
        <v>0</v>
      </c>
      <c r="J379" s="177" t="s">
        <v>60</v>
      </c>
      <c r="K379" s="177" t="s">
        <v>48</v>
      </c>
      <c r="L379" s="178" t="s">
        <v>1002</v>
      </c>
      <c r="M379" s="238"/>
      <c r="N379" s="239"/>
      <c r="O379" s="146">
        <v>10</v>
      </c>
      <c r="P379" s="146">
        <v>11</v>
      </c>
      <c r="Q379" s="147">
        <v>2</v>
      </c>
      <c r="R379" s="148" t="s">
        <v>51</v>
      </c>
      <c r="S379" s="149" t="s">
        <v>658</v>
      </c>
      <c r="T379" s="150" t="s">
        <v>53</v>
      </c>
      <c r="U379" s="151">
        <f t="shared" si="36"/>
        <v>0</v>
      </c>
      <c r="V379" s="152">
        <f t="shared" si="37"/>
        <v>0</v>
      </c>
      <c r="W379" s="153" t="s">
        <v>54</v>
      </c>
      <c r="X379" s="153" t="s">
        <v>55</v>
      </c>
      <c r="Y379" s="154" t="s">
        <v>56</v>
      </c>
      <c r="Z379" s="155" t="s">
        <v>57</v>
      </c>
      <c r="AA379" s="156" t="s">
        <v>240</v>
      </c>
      <c r="AB379" s="157" t="s">
        <v>58</v>
      </c>
      <c r="AC379" s="158" t="s">
        <v>59</v>
      </c>
      <c r="AD379" s="153" t="s">
        <v>54</v>
      </c>
      <c r="AE379" s="153" t="s">
        <v>60</v>
      </c>
      <c r="AF379" s="159" t="s">
        <v>61</v>
      </c>
      <c r="AG379" s="159" t="s">
        <v>62</v>
      </c>
      <c r="AH379" s="159" t="s">
        <v>63</v>
      </c>
      <c r="AI379" s="159" t="s">
        <v>64</v>
      </c>
      <c r="AJ379" s="159" t="s">
        <v>64</v>
      </c>
      <c r="AK379" s="197" t="s">
        <v>64</v>
      </c>
      <c r="AL379" s="42"/>
      <c r="AM379" s="42"/>
      <c r="AN379" s="42"/>
      <c r="AO379" s="42"/>
    </row>
    <row r="380" spans="1:41" ht="84.75" customHeight="1" thickBot="1" x14ac:dyDescent="0.25">
      <c r="B380" s="196" t="s">
        <v>240</v>
      </c>
      <c r="C380" s="143">
        <v>1340</v>
      </c>
      <c r="D380" s="143" t="s">
        <v>640</v>
      </c>
      <c r="E380" s="143" t="s">
        <v>44</v>
      </c>
      <c r="F380" s="175" t="s">
        <v>114</v>
      </c>
      <c r="G380" s="175" t="s">
        <v>115</v>
      </c>
      <c r="H380" s="175" t="s">
        <v>1001</v>
      </c>
      <c r="I380" s="176">
        <f>8000000-5455536</f>
        <v>2544464</v>
      </c>
      <c r="J380" s="177" t="s">
        <v>60</v>
      </c>
      <c r="K380" s="177" t="s">
        <v>48</v>
      </c>
      <c r="L380" s="178" t="s">
        <v>1002</v>
      </c>
      <c r="M380" s="238"/>
      <c r="N380" s="239"/>
      <c r="O380" s="146">
        <v>10</v>
      </c>
      <c r="P380" s="146">
        <v>11</v>
      </c>
      <c r="Q380" s="147">
        <v>2</v>
      </c>
      <c r="R380" s="148" t="s">
        <v>51</v>
      </c>
      <c r="S380" s="149" t="s">
        <v>658</v>
      </c>
      <c r="T380" s="150" t="s">
        <v>53</v>
      </c>
      <c r="U380" s="151">
        <f t="shared" si="36"/>
        <v>2544464</v>
      </c>
      <c r="V380" s="152">
        <f t="shared" si="37"/>
        <v>2544464</v>
      </c>
      <c r="W380" s="153" t="s">
        <v>54</v>
      </c>
      <c r="X380" s="153" t="s">
        <v>55</v>
      </c>
      <c r="Y380" s="154" t="s">
        <v>56</v>
      </c>
      <c r="Z380" s="155" t="s">
        <v>57</v>
      </c>
      <c r="AA380" s="156" t="s">
        <v>240</v>
      </c>
      <c r="AB380" s="157" t="s">
        <v>58</v>
      </c>
      <c r="AC380" s="158" t="s">
        <v>59</v>
      </c>
      <c r="AD380" s="153" t="s">
        <v>54</v>
      </c>
      <c r="AE380" s="153" t="s">
        <v>60</v>
      </c>
      <c r="AF380" s="159" t="s">
        <v>61</v>
      </c>
      <c r="AG380" s="159" t="s">
        <v>62</v>
      </c>
      <c r="AH380" s="159" t="s">
        <v>63</v>
      </c>
      <c r="AI380" s="159" t="s">
        <v>64</v>
      </c>
      <c r="AJ380" s="159" t="s">
        <v>64</v>
      </c>
      <c r="AK380" s="197" t="s">
        <v>64</v>
      </c>
    </row>
    <row r="381" spans="1:41" ht="84.75" customHeight="1" thickBot="1" x14ac:dyDescent="0.25">
      <c r="B381" s="196" t="s">
        <v>240</v>
      </c>
      <c r="C381" s="143">
        <v>1340</v>
      </c>
      <c r="D381" s="143" t="s">
        <v>640</v>
      </c>
      <c r="E381" s="143" t="s">
        <v>44</v>
      </c>
      <c r="F381" s="175" t="s">
        <v>1003</v>
      </c>
      <c r="G381" s="175" t="s">
        <v>1004</v>
      </c>
      <c r="H381" s="175" t="s">
        <v>1001</v>
      </c>
      <c r="I381" s="176">
        <v>2486025</v>
      </c>
      <c r="J381" s="177" t="s">
        <v>60</v>
      </c>
      <c r="K381" s="177" t="s">
        <v>48</v>
      </c>
      <c r="L381" s="178" t="s">
        <v>1002</v>
      </c>
      <c r="M381" s="238"/>
      <c r="N381" s="239"/>
      <c r="O381" s="146">
        <v>10</v>
      </c>
      <c r="P381" s="146">
        <v>11</v>
      </c>
      <c r="Q381" s="147">
        <v>2</v>
      </c>
      <c r="R381" s="148" t="s">
        <v>51</v>
      </c>
      <c r="S381" s="149" t="s">
        <v>658</v>
      </c>
      <c r="T381" s="150" t="s">
        <v>53</v>
      </c>
      <c r="U381" s="151">
        <f t="shared" si="36"/>
        <v>2486025</v>
      </c>
      <c r="V381" s="152">
        <f t="shared" si="37"/>
        <v>2486025</v>
      </c>
      <c r="W381" s="153" t="s">
        <v>54</v>
      </c>
      <c r="X381" s="153" t="s">
        <v>55</v>
      </c>
      <c r="Y381" s="154" t="s">
        <v>56</v>
      </c>
      <c r="Z381" s="155" t="s">
        <v>57</v>
      </c>
      <c r="AA381" s="156" t="s">
        <v>240</v>
      </c>
      <c r="AB381" s="157" t="s">
        <v>58</v>
      </c>
      <c r="AC381" s="158" t="s">
        <v>59</v>
      </c>
      <c r="AD381" s="153" t="s">
        <v>54</v>
      </c>
      <c r="AE381" s="153" t="s">
        <v>60</v>
      </c>
      <c r="AF381" s="159" t="s">
        <v>61</v>
      </c>
      <c r="AG381" s="159" t="s">
        <v>62</v>
      </c>
      <c r="AH381" s="159" t="s">
        <v>63</v>
      </c>
      <c r="AI381" s="159" t="s">
        <v>64</v>
      </c>
      <c r="AJ381" s="159" t="s">
        <v>64</v>
      </c>
      <c r="AK381" s="197" t="s">
        <v>64</v>
      </c>
    </row>
    <row r="382" spans="1:41" ht="84.75" customHeight="1" thickBot="1" x14ac:dyDescent="0.25">
      <c r="B382" s="196" t="s">
        <v>240</v>
      </c>
      <c r="C382" s="143">
        <v>1340</v>
      </c>
      <c r="D382" s="143" t="s">
        <v>640</v>
      </c>
      <c r="E382" s="143" t="s">
        <v>44</v>
      </c>
      <c r="F382" s="175" t="s">
        <v>1005</v>
      </c>
      <c r="G382" s="175" t="s">
        <v>1006</v>
      </c>
      <c r="H382" s="175" t="s">
        <v>1001</v>
      </c>
      <c r="I382" s="176">
        <v>999600</v>
      </c>
      <c r="J382" s="177" t="s">
        <v>60</v>
      </c>
      <c r="K382" s="177" t="s">
        <v>48</v>
      </c>
      <c r="L382" s="178" t="s">
        <v>1002</v>
      </c>
      <c r="M382" s="238"/>
      <c r="N382" s="239"/>
      <c r="O382" s="146">
        <v>10</v>
      </c>
      <c r="P382" s="146">
        <v>11</v>
      </c>
      <c r="Q382" s="147">
        <v>2</v>
      </c>
      <c r="R382" s="148" t="s">
        <v>51</v>
      </c>
      <c r="S382" s="149" t="s">
        <v>658</v>
      </c>
      <c r="T382" s="150" t="s">
        <v>53</v>
      </c>
      <c r="U382" s="151">
        <f t="shared" si="36"/>
        <v>999600</v>
      </c>
      <c r="V382" s="152">
        <f t="shared" si="37"/>
        <v>999600</v>
      </c>
      <c r="W382" s="153" t="s">
        <v>54</v>
      </c>
      <c r="X382" s="153" t="s">
        <v>55</v>
      </c>
      <c r="Y382" s="154" t="s">
        <v>56</v>
      </c>
      <c r="Z382" s="155" t="s">
        <v>57</v>
      </c>
      <c r="AA382" s="156" t="s">
        <v>240</v>
      </c>
      <c r="AB382" s="157" t="s">
        <v>58</v>
      </c>
      <c r="AC382" s="158" t="s">
        <v>59</v>
      </c>
      <c r="AD382" s="153" t="s">
        <v>54</v>
      </c>
      <c r="AE382" s="153" t="s">
        <v>60</v>
      </c>
      <c r="AF382" s="159" t="s">
        <v>61</v>
      </c>
      <c r="AG382" s="159" t="s">
        <v>62</v>
      </c>
      <c r="AH382" s="159" t="s">
        <v>63</v>
      </c>
      <c r="AI382" s="159" t="s">
        <v>64</v>
      </c>
      <c r="AJ382" s="159" t="s">
        <v>64</v>
      </c>
      <c r="AK382" s="197" t="s">
        <v>64</v>
      </c>
    </row>
    <row r="383" spans="1:41" s="30" customFormat="1" ht="84.75" customHeight="1" thickBot="1" x14ac:dyDescent="0.25">
      <c r="A383" s="1"/>
      <c r="B383" s="196" t="s">
        <v>240</v>
      </c>
      <c r="C383" s="143">
        <v>1340</v>
      </c>
      <c r="D383" s="143" t="s">
        <v>640</v>
      </c>
      <c r="E383" s="143" t="s">
        <v>44</v>
      </c>
      <c r="F383" s="175" t="s">
        <v>111</v>
      </c>
      <c r="G383" s="175" t="s">
        <v>112</v>
      </c>
      <c r="H383" s="175" t="s">
        <v>1007</v>
      </c>
      <c r="I383" s="176">
        <v>7000000</v>
      </c>
      <c r="J383" s="177" t="s">
        <v>60</v>
      </c>
      <c r="K383" s="177" t="s">
        <v>48</v>
      </c>
      <c r="L383" s="178" t="s">
        <v>1008</v>
      </c>
      <c r="M383" s="143" t="s">
        <v>643</v>
      </c>
      <c r="N383" s="239" t="str">
        <f>H383</f>
        <v>Suministrar materiales y reactivos para el Laboratorio del Departamento de Biología de la Universidad Pedagógica Nacional.</v>
      </c>
      <c r="O383" s="153">
        <v>7</v>
      </c>
      <c r="P383" s="146">
        <v>8</v>
      </c>
      <c r="Q383" s="147">
        <v>4</v>
      </c>
      <c r="R383" s="148" t="s">
        <v>51</v>
      </c>
      <c r="S383" s="149" t="s">
        <v>644</v>
      </c>
      <c r="T383" s="150" t="s">
        <v>53</v>
      </c>
      <c r="U383" s="151">
        <f t="shared" si="36"/>
        <v>7000000</v>
      </c>
      <c r="V383" s="152">
        <f t="shared" si="37"/>
        <v>7000000</v>
      </c>
      <c r="W383" s="153" t="s">
        <v>54</v>
      </c>
      <c r="X383" s="153" t="s">
        <v>55</v>
      </c>
      <c r="Y383" s="154" t="s">
        <v>56</v>
      </c>
      <c r="Z383" s="155" t="s">
        <v>57</v>
      </c>
      <c r="AA383" s="156" t="s">
        <v>240</v>
      </c>
      <c r="AB383" s="157" t="s">
        <v>58</v>
      </c>
      <c r="AC383" s="158" t="s">
        <v>59</v>
      </c>
      <c r="AD383" s="153" t="s">
        <v>54</v>
      </c>
      <c r="AE383" s="153" t="s">
        <v>60</v>
      </c>
      <c r="AF383" s="159" t="s">
        <v>61</v>
      </c>
      <c r="AG383" s="159" t="s">
        <v>62</v>
      </c>
      <c r="AH383" s="159" t="s">
        <v>63</v>
      </c>
      <c r="AI383" s="159" t="s">
        <v>64</v>
      </c>
      <c r="AJ383" s="159" t="s">
        <v>64</v>
      </c>
      <c r="AK383" s="197" t="s">
        <v>64</v>
      </c>
      <c r="AL383" s="42"/>
      <c r="AM383" s="42"/>
      <c r="AN383" s="42"/>
      <c r="AO383" s="42"/>
    </row>
    <row r="384" spans="1:41" s="30" customFormat="1" ht="84.75" customHeight="1" thickBot="1" x14ac:dyDescent="0.25">
      <c r="A384" s="1"/>
      <c r="B384" s="196" t="s">
        <v>240</v>
      </c>
      <c r="C384" s="143">
        <v>1340</v>
      </c>
      <c r="D384" s="143" t="s">
        <v>640</v>
      </c>
      <c r="E384" s="143" t="s">
        <v>44</v>
      </c>
      <c r="F384" s="175" t="s">
        <v>128</v>
      </c>
      <c r="G384" s="175" t="s">
        <v>129</v>
      </c>
      <c r="H384" s="175" t="s">
        <v>1007</v>
      </c>
      <c r="I384" s="176">
        <v>600000</v>
      </c>
      <c r="J384" s="177" t="s">
        <v>60</v>
      </c>
      <c r="K384" s="177" t="s">
        <v>48</v>
      </c>
      <c r="L384" s="178" t="s">
        <v>1008</v>
      </c>
      <c r="M384" s="143" t="s">
        <v>643</v>
      </c>
      <c r="N384" s="239"/>
      <c r="O384" s="153">
        <v>7</v>
      </c>
      <c r="P384" s="146">
        <v>8</v>
      </c>
      <c r="Q384" s="147">
        <v>4</v>
      </c>
      <c r="R384" s="148" t="s">
        <v>51</v>
      </c>
      <c r="S384" s="149" t="s">
        <v>644</v>
      </c>
      <c r="T384" s="150" t="s">
        <v>53</v>
      </c>
      <c r="U384" s="151">
        <f t="shared" si="36"/>
        <v>600000</v>
      </c>
      <c r="V384" s="152">
        <f t="shared" si="37"/>
        <v>600000</v>
      </c>
      <c r="W384" s="153" t="s">
        <v>54</v>
      </c>
      <c r="X384" s="153" t="s">
        <v>55</v>
      </c>
      <c r="Y384" s="154" t="s">
        <v>56</v>
      </c>
      <c r="Z384" s="155" t="s">
        <v>57</v>
      </c>
      <c r="AA384" s="156" t="s">
        <v>240</v>
      </c>
      <c r="AB384" s="157" t="s">
        <v>58</v>
      </c>
      <c r="AC384" s="158" t="s">
        <v>59</v>
      </c>
      <c r="AD384" s="153" t="s">
        <v>54</v>
      </c>
      <c r="AE384" s="153" t="s">
        <v>60</v>
      </c>
      <c r="AF384" s="159" t="s">
        <v>61</v>
      </c>
      <c r="AG384" s="159" t="s">
        <v>62</v>
      </c>
      <c r="AH384" s="159" t="s">
        <v>63</v>
      </c>
      <c r="AI384" s="159" t="s">
        <v>64</v>
      </c>
      <c r="AJ384" s="159" t="s">
        <v>64</v>
      </c>
      <c r="AK384" s="197" t="s">
        <v>64</v>
      </c>
      <c r="AL384" s="42"/>
      <c r="AM384" s="42"/>
      <c r="AN384" s="42"/>
      <c r="AO384" s="42"/>
    </row>
    <row r="385" spans="1:41" s="30" customFormat="1" ht="84.75" customHeight="1" thickBot="1" x14ac:dyDescent="0.25">
      <c r="A385" s="1"/>
      <c r="B385" s="196" t="s">
        <v>240</v>
      </c>
      <c r="C385" s="143">
        <v>1340</v>
      </c>
      <c r="D385" s="143" t="s">
        <v>640</v>
      </c>
      <c r="E385" s="143" t="s">
        <v>44</v>
      </c>
      <c r="F385" s="175" t="s">
        <v>1009</v>
      </c>
      <c r="G385" s="175" t="s">
        <v>1010</v>
      </c>
      <c r="H385" s="175" t="s">
        <v>1011</v>
      </c>
      <c r="I385" s="176">
        <v>4298994</v>
      </c>
      <c r="J385" s="177" t="s">
        <v>60</v>
      </c>
      <c r="K385" s="177" t="s">
        <v>48</v>
      </c>
      <c r="L385" s="178" t="s">
        <v>1008</v>
      </c>
      <c r="M385" s="143" t="s">
        <v>643</v>
      </c>
      <c r="N385" s="239"/>
      <c r="O385" s="153">
        <v>7</v>
      </c>
      <c r="P385" s="146">
        <v>8</v>
      </c>
      <c r="Q385" s="147">
        <v>4</v>
      </c>
      <c r="R385" s="148" t="s">
        <v>51</v>
      </c>
      <c r="S385" s="149" t="s">
        <v>644</v>
      </c>
      <c r="T385" s="150" t="s">
        <v>53</v>
      </c>
      <c r="U385" s="151">
        <f t="shared" si="36"/>
        <v>4298994</v>
      </c>
      <c r="V385" s="152">
        <f t="shared" si="37"/>
        <v>4298994</v>
      </c>
      <c r="W385" s="153" t="s">
        <v>54</v>
      </c>
      <c r="X385" s="153" t="s">
        <v>55</v>
      </c>
      <c r="Y385" s="154" t="s">
        <v>56</v>
      </c>
      <c r="Z385" s="155" t="s">
        <v>57</v>
      </c>
      <c r="AA385" s="156" t="s">
        <v>240</v>
      </c>
      <c r="AB385" s="157" t="s">
        <v>58</v>
      </c>
      <c r="AC385" s="158" t="s">
        <v>59</v>
      </c>
      <c r="AD385" s="153" t="s">
        <v>54</v>
      </c>
      <c r="AE385" s="153" t="s">
        <v>60</v>
      </c>
      <c r="AF385" s="159" t="s">
        <v>61</v>
      </c>
      <c r="AG385" s="159" t="s">
        <v>62</v>
      </c>
      <c r="AH385" s="159" t="s">
        <v>63</v>
      </c>
      <c r="AI385" s="159" t="s">
        <v>64</v>
      </c>
      <c r="AJ385" s="159" t="s">
        <v>64</v>
      </c>
      <c r="AK385" s="197" t="s">
        <v>64</v>
      </c>
      <c r="AL385" s="42"/>
      <c r="AM385" s="42"/>
      <c r="AN385" s="42"/>
      <c r="AO385" s="42"/>
    </row>
    <row r="386" spans="1:41" s="30" customFormat="1" ht="84.75" customHeight="1" thickBot="1" x14ac:dyDescent="0.25">
      <c r="A386" s="1"/>
      <c r="B386" s="196" t="s">
        <v>240</v>
      </c>
      <c r="C386" s="143">
        <v>1340</v>
      </c>
      <c r="D386" s="143" t="s">
        <v>640</v>
      </c>
      <c r="E386" s="143" t="s">
        <v>44</v>
      </c>
      <c r="F386" s="175" t="s">
        <v>93</v>
      </c>
      <c r="G386" s="175" t="s">
        <v>1012</v>
      </c>
      <c r="H386" s="175" t="s">
        <v>1011</v>
      </c>
      <c r="I386" s="176">
        <v>1167390</v>
      </c>
      <c r="J386" s="177" t="s">
        <v>60</v>
      </c>
      <c r="K386" s="177" t="s">
        <v>48</v>
      </c>
      <c r="L386" s="178" t="s">
        <v>1008</v>
      </c>
      <c r="M386" s="143" t="s">
        <v>643</v>
      </c>
      <c r="N386" s="239"/>
      <c r="O386" s="153">
        <v>7</v>
      </c>
      <c r="P386" s="146">
        <v>8</v>
      </c>
      <c r="Q386" s="147">
        <v>4</v>
      </c>
      <c r="R386" s="148" t="s">
        <v>51</v>
      </c>
      <c r="S386" s="149" t="s">
        <v>644</v>
      </c>
      <c r="T386" s="150" t="s">
        <v>53</v>
      </c>
      <c r="U386" s="151">
        <f t="shared" si="36"/>
        <v>1167390</v>
      </c>
      <c r="V386" s="152">
        <f t="shared" si="37"/>
        <v>1167390</v>
      </c>
      <c r="W386" s="153" t="s">
        <v>54</v>
      </c>
      <c r="X386" s="153" t="s">
        <v>55</v>
      </c>
      <c r="Y386" s="154" t="s">
        <v>56</v>
      </c>
      <c r="Z386" s="155" t="s">
        <v>57</v>
      </c>
      <c r="AA386" s="156" t="s">
        <v>240</v>
      </c>
      <c r="AB386" s="157" t="s">
        <v>58</v>
      </c>
      <c r="AC386" s="158" t="s">
        <v>59</v>
      </c>
      <c r="AD386" s="153" t="s">
        <v>54</v>
      </c>
      <c r="AE386" s="153" t="s">
        <v>60</v>
      </c>
      <c r="AF386" s="159" t="s">
        <v>61</v>
      </c>
      <c r="AG386" s="159" t="s">
        <v>62</v>
      </c>
      <c r="AH386" s="159" t="s">
        <v>63</v>
      </c>
      <c r="AI386" s="159" t="s">
        <v>64</v>
      </c>
      <c r="AJ386" s="159" t="s">
        <v>64</v>
      </c>
      <c r="AK386" s="197" t="s">
        <v>64</v>
      </c>
      <c r="AL386" s="42"/>
      <c r="AM386" s="42"/>
      <c r="AN386" s="42"/>
      <c r="AO386" s="42"/>
    </row>
    <row r="387" spans="1:41" ht="84.75" customHeight="1" thickBot="1" x14ac:dyDescent="0.25">
      <c r="B387" s="196" t="s">
        <v>240</v>
      </c>
      <c r="C387" s="143">
        <v>1340</v>
      </c>
      <c r="D387" s="143" t="s">
        <v>640</v>
      </c>
      <c r="E387" s="143" t="s">
        <v>44</v>
      </c>
      <c r="F387" s="175" t="s">
        <v>114</v>
      </c>
      <c r="G387" s="175" t="s">
        <v>115</v>
      </c>
      <c r="H387" s="175" t="s">
        <v>1007</v>
      </c>
      <c r="I387" s="176">
        <f>8000000-5466384</f>
        <v>2533616</v>
      </c>
      <c r="J387" s="177" t="s">
        <v>60</v>
      </c>
      <c r="K387" s="177" t="s">
        <v>48</v>
      </c>
      <c r="L387" s="178" t="s">
        <v>1008</v>
      </c>
      <c r="M387" s="143" t="s">
        <v>643</v>
      </c>
      <c r="N387" s="239"/>
      <c r="O387" s="153">
        <v>7</v>
      </c>
      <c r="P387" s="146">
        <v>8</v>
      </c>
      <c r="Q387" s="147">
        <v>4</v>
      </c>
      <c r="R387" s="148" t="s">
        <v>51</v>
      </c>
      <c r="S387" s="149" t="s">
        <v>644</v>
      </c>
      <c r="T387" s="150" t="s">
        <v>53</v>
      </c>
      <c r="U387" s="151">
        <f t="shared" si="36"/>
        <v>2533616</v>
      </c>
      <c r="V387" s="152">
        <f t="shared" si="37"/>
        <v>2533616</v>
      </c>
      <c r="W387" s="153" t="s">
        <v>54</v>
      </c>
      <c r="X387" s="153" t="s">
        <v>55</v>
      </c>
      <c r="Y387" s="154" t="s">
        <v>56</v>
      </c>
      <c r="Z387" s="155" t="s">
        <v>57</v>
      </c>
      <c r="AA387" s="156" t="s">
        <v>240</v>
      </c>
      <c r="AB387" s="157" t="s">
        <v>58</v>
      </c>
      <c r="AC387" s="158" t="s">
        <v>59</v>
      </c>
      <c r="AD387" s="153" t="s">
        <v>54</v>
      </c>
      <c r="AE387" s="153" t="s">
        <v>60</v>
      </c>
      <c r="AF387" s="159" t="s">
        <v>61</v>
      </c>
      <c r="AG387" s="159" t="s">
        <v>62</v>
      </c>
      <c r="AH387" s="159" t="s">
        <v>63</v>
      </c>
      <c r="AI387" s="159" t="s">
        <v>64</v>
      </c>
      <c r="AJ387" s="159" t="s">
        <v>64</v>
      </c>
      <c r="AK387" s="197" t="s">
        <v>64</v>
      </c>
    </row>
    <row r="388" spans="1:41" ht="84.75" customHeight="1" thickBot="1" x14ac:dyDescent="0.25">
      <c r="A388" s="1"/>
      <c r="B388" s="196" t="s">
        <v>42</v>
      </c>
      <c r="C388" s="143">
        <v>1640</v>
      </c>
      <c r="D388" s="143" t="s">
        <v>829</v>
      </c>
      <c r="E388" s="143" t="s">
        <v>830</v>
      </c>
      <c r="F388" s="175" t="s">
        <v>114</v>
      </c>
      <c r="G388" s="175" t="s">
        <v>115</v>
      </c>
      <c r="H388" s="175" t="s">
        <v>1013</v>
      </c>
      <c r="I388" s="176">
        <f>6000000+1100000</f>
        <v>7100000</v>
      </c>
      <c r="J388" s="177" t="s">
        <v>60</v>
      </c>
      <c r="K388" s="177" t="s">
        <v>48</v>
      </c>
      <c r="L388" s="178" t="s">
        <v>1014</v>
      </c>
      <c r="M388" s="143" t="s">
        <v>1015</v>
      </c>
      <c r="N388" s="239" t="s">
        <v>1013</v>
      </c>
      <c r="O388" s="153">
        <v>7</v>
      </c>
      <c r="P388" s="146">
        <v>8</v>
      </c>
      <c r="Q388" s="147">
        <v>4</v>
      </c>
      <c r="R388" s="148" t="s">
        <v>51</v>
      </c>
      <c r="S388" s="149" t="s">
        <v>857</v>
      </c>
      <c r="T388" s="150" t="s">
        <v>282</v>
      </c>
      <c r="U388" s="151">
        <f t="shared" si="36"/>
        <v>7100000</v>
      </c>
      <c r="V388" s="152">
        <f t="shared" si="37"/>
        <v>7100000</v>
      </c>
      <c r="W388" s="153" t="s">
        <v>54</v>
      </c>
      <c r="X388" s="153" t="s">
        <v>55</v>
      </c>
      <c r="Y388" s="154" t="s">
        <v>56</v>
      </c>
      <c r="Z388" s="155" t="s">
        <v>57</v>
      </c>
      <c r="AA388" s="156" t="s">
        <v>42</v>
      </c>
      <c r="AB388" s="157" t="s">
        <v>58</v>
      </c>
      <c r="AC388" s="158" t="s">
        <v>59</v>
      </c>
      <c r="AD388" s="153" t="s">
        <v>54</v>
      </c>
      <c r="AE388" s="153" t="s">
        <v>60</v>
      </c>
      <c r="AF388" s="159" t="s">
        <v>61</v>
      </c>
      <c r="AG388" s="159" t="s">
        <v>62</v>
      </c>
      <c r="AH388" s="159" t="s">
        <v>63</v>
      </c>
      <c r="AI388" s="159" t="s">
        <v>64</v>
      </c>
      <c r="AJ388" s="159" t="s">
        <v>64</v>
      </c>
      <c r="AK388" s="197" t="s">
        <v>64</v>
      </c>
    </row>
    <row r="389" spans="1:41" ht="84.75" customHeight="1" thickBot="1" x14ac:dyDescent="0.25">
      <c r="B389" s="196" t="s">
        <v>42</v>
      </c>
      <c r="C389" s="143">
        <v>1640</v>
      </c>
      <c r="D389" s="143" t="s">
        <v>829</v>
      </c>
      <c r="E389" s="143" t="s">
        <v>830</v>
      </c>
      <c r="F389" s="175" t="s">
        <v>68</v>
      </c>
      <c r="G389" s="175" t="s">
        <v>69</v>
      </c>
      <c r="H389" s="175" t="s">
        <v>1013</v>
      </c>
      <c r="I389" s="176">
        <f>1385682-1164439</f>
        <v>221243</v>
      </c>
      <c r="J389" s="177" t="s">
        <v>60</v>
      </c>
      <c r="K389" s="177" t="s">
        <v>48</v>
      </c>
      <c r="L389" s="178" t="s">
        <v>1014</v>
      </c>
      <c r="M389" s="143">
        <v>27141001</v>
      </c>
      <c r="N389" s="239"/>
      <c r="O389" s="153">
        <v>7</v>
      </c>
      <c r="P389" s="146">
        <v>8</v>
      </c>
      <c r="Q389" s="147">
        <v>4</v>
      </c>
      <c r="R389" s="148" t="s">
        <v>51</v>
      </c>
      <c r="S389" s="149" t="s">
        <v>857</v>
      </c>
      <c r="T389" s="150" t="s">
        <v>282</v>
      </c>
      <c r="U389" s="151">
        <f t="shared" si="36"/>
        <v>221243</v>
      </c>
      <c r="V389" s="152">
        <f t="shared" si="37"/>
        <v>221243</v>
      </c>
      <c r="W389" s="153" t="s">
        <v>54</v>
      </c>
      <c r="X389" s="153" t="s">
        <v>55</v>
      </c>
      <c r="Y389" s="154" t="s">
        <v>56</v>
      </c>
      <c r="Z389" s="155" t="s">
        <v>57</v>
      </c>
      <c r="AA389" s="156" t="s">
        <v>42</v>
      </c>
      <c r="AB389" s="157" t="s">
        <v>58</v>
      </c>
      <c r="AC389" s="158" t="s">
        <v>59</v>
      </c>
      <c r="AD389" s="153" t="s">
        <v>54</v>
      </c>
      <c r="AE389" s="153" t="s">
        <v>60</v>
      </c>
      <c r="AF389" s="159" t="s">
        <v>61</v>
      </c>
      <c r="AG389" s="159" t="s">
        <v>62</v>
      </c>
      <c r="AH389" s="159" t="s">
        <v>63</v>
      </c>
      <c r="AI389" s="159" t="s">
        <v>64</v>
      </c>
      <c r="AJ389" s="159" t="s">
        <v>64</v>
      </c>
      <c r="AK389" s="197" t="s">
        <v>64</v>
      </c>
    </row>
    <row r="390" spans="1:41" ht="84.75" customHeight="1" thickBot="1" x14ac:dyDescent="0.25">
      <c r="B390" s="196" t="s">
        <v>42</v>
      </c>
      <c r="C390" s="143">
        <v>1640</v>
      </c>
      <c r="D390" s="143" t="s">
        <v>829</v>
      </c>
      <c r="E390" s="143" t="s">
        <v>830</v>
      </c>
      <c r="F390" s="175" t="s">
        <v>111</v>
      </c>
      <c r="G390" s="175" t="s">
        <v>112</v>
      </c>
      <c r="H390" s="175" t="s">
        <v>1013</v>
      </c>
      <c r="I390" s="176">
        <v>300000</v>
      </c>
      <c r="J390" s="177" t="s">
        <v>60</v>
      </c>
      <c r="K390" s="177" t="s">
        <v>48</v>
      </c>
      <c r="L390" s="178" t="s">
        <v>1014</v>
      </c>
      <c r="M390" s="143" t="s">
        <v>1016</v>
      </c>
      <c r="N390" s="239"/>
      <c r="O390" s="153">
        <v>7</v>
      </c>
      <c r="P390" s="146">
        <v>8</v>
      </c>
      <c r="Q390" s="147">
        <v>4</v>
      </c>
      <c r="R390" s="148" t="s">
        <v>51</v>
      </c>
      <c r="S390" s="149" t="s">
        <v>857</v>
      </c>
      <c r="T390" s="150" t="s">
        <v>282</v>
      </c>
      <c r="U390" s="151">
        <f t="shared" si="36"/>
        <v>300000</v>
      </c>
      <c r="V390" s="152">
        <f t="shared" si="37"/>
        <v>300000</v>
      </c>
      <c r="W390" s="153" t="s">
        <v>54</v>
      </c>
      <c r="X390" s="153" t="s">
        <v>55</v>
      </c>
      <c r="Y390" s="154" t="s">
        <v>56</v>
      </c>
      <c r="Z390" s="155" t="s">
        <v>57</v>
      </c>
      <c r="AA390" s="156" t="s">
        <v>42</v>
      </c>
      <c r="AB390" s="157" t="s">
        <v>58</v>
      </c>
      <c r="AC390" s="158" t="s">
        <v>59</v>
      </c>
      <c r="AD390" s="153" t="s">
        <v>54</v>
      </c>
      <c r="AE390" s="153" t="s">
        <v>60</v>
      </c>
      <c r="AF390" s="159" t="s">
        <v>61</v>
      </c>
      <c r="AG390" s="159" t="s">
        <v>62</v>
      </c>
      <c r="AH390" s="159" t="s">
        <v>63</v>
      </c>
      <c r="AI390" s="159" t="s">
        <v>64</v>
      </c>
      <c r="AJ390" s="159" t="s">
        <v>64</v>
      </c>
      <c r="AK390" s="197" t="s">
        <v>64</v>
      </c>
    </row>
    <row r="391" spans="1:41" ht="84.75" customHeight="1" thickBot="1" x14ac:dyDescent="0.25">
      <c r="B391" s="196" t="s">
        <v>42</v>
      </c>
      <c r="C391" s="143">
        <v>1640</v>
      </c>
      <c r="D391" s="143" t="s">
        <v>829</v>
      </c>
      <c r="E391" s="143" t="s">
        <v>830</v>
      </c>
      <c r="F391" s="175" t="s">
        <v>1005</v>
      </c>
      <c r="G391" s="175" t="s">
        <v>1017</v>
      </c>
      <c r="H391" s="175" t="s">
        <v>1013</v>
      </c>
      <c r="I391" s="176">
        <f>11500000+1164439</f>
        <v>12664439</v>
      </c>
      <c r="J391" s="177" t="s">
        <v>60</v>
      </c>
      <c r="K391" s="177" t="s">
        <v>48</v>
      </c>
      <c r="L391" s="178" t="s">
        <v>1014</v>
      </c>
      <c r="M391" s="143" t="s">
        <v>1018</v>
      </c>
      <c r="N391" s="239"/>
      <c r="O391" s="153">
        <v>7</v>
      </c>
      <c r="P391" s="146">
        <v>8</v>
      </c>
      <c r="Q391" s="147">
        <v>4</v>
      </c>
      <c r="R391" s="148" t="s">
        <v>51</v>
      </c>
      <c r="S391" s="149" t="s">
        <v>857</v>
      </c>
      <c r="T391" s="150" t="s">
        <v>282</v>
      </c>
      <c r="U391" s="151">
        <f t="shared" si="36"/>
        <v>12664439</v>
      </c>
      <c r="V391" s="152">
        <f t="shared" si="37"/>
        <v>12664439</v>
      </c>
      <c r="W391" s="153" t="s">
        <v>54</v>
      </c>
      <c r="X391" s="153" t="s">
        <v>55</v>
      </c>
      <c r="Y391" s="154" t="s">
        <v>56</v>
      </c>
      <c r="Z391" s="155" t="s">
        <v>57</v>
      </c>
      <c r="AA391" s="156" t="s">
        <v>42</v>
      </c>
      <c r="AB391" s="157" t="s">
        <v>58</v>
      </c>
      <c r="AC391" s="158" t="s">
        <v>59</v>
      </c>
      <c r="AD391" s="153" t="s">
        <v>54</v>
      </c>
      <c r="AE391" s="153" t="s">
        <v>60</v>
      </c>
      <c r="AF391" s="159" t="s">
        <v>61</v>
      </c>
      <c r="AG391" s="159" t="s">
        <v>62</v>
      </c>
      <c r="AH391" s="159" t="s">
        <v>63</v>
      </c>
      <c r="AI391" s="159" t="s">
        <v>64</v>
      </c>
      <c r="AJ391" s="159" t="s">
        <v>64</v>
      </c>
      <c r="AK391" s="197" t="s">
        <v>64</v>
      </c>
    </row>
    <row r="392" spans="1:41" ht="84.75" customHeight="1" thickBot="1" x14ac:dyDescent="0.25">
      <c r="B392" s="196" t="s">
        <v>42</v>
      </c>
      <c r="C392" s="143">
        <v>1510</v>
      </c>
      <c r="D392" s="143" t="s">
        <v>203</v>
      </c>
      <c r="E392" s="143" t="s">
        <v>204</v>
      </c>
      <c r="F392" s="175" t="s">
        <v>128</v>
      </c>
      <c r="G392" s="175" t="s">
        <v>129</v>
      </c>
      <c r="H392" s="175" t="s">
        <v>1019</v>
      </c>
      <c r="I392" s="176">
        <f>48915783+164220</f>
        <v>49080003</v>
      </c>
      <c r="J392" s="177" t="s">
        <v>244</v>
      </c>
      <c r="K392" s="177" t="s">
        <v>48</v>
      </c>
      <c r="L392" s="178" t="s">
        <v>1020</v>
      </c>
      <c r="M392" s="143">
        <v>46181500</v>
      </c>
      <c r="N392" s="239" t="s">
        <v>1019</v>
      </c>
      <c r="O392" s="153">
        <v>8</v>
      </c>
      <c r="P392" s="146">
        <v>9</v>
      </c>
      <c r="Q392" s="147">
        <v>3</v>
      </c>
      <c r="R392" s="148" t="s">
        <v>51</v>
      </c>
      <c r="S392" s="149" t="s">
        <v>783</v>
      </c>
      <c r="T392" s="150" t="s">
        <v>53</v>
      </c>
      <c r="U392" s="151">
        <f t="shared" si="36"/>
        <v>49080003</v>
      </c>
      <c r="V392" s="152">
        <f t="shared" si="37"/>
        <v>49080003</v>
      </c>
      <c r="W392" s="153" t="s">
        <v>54</v>
      </c>
      <c r="X392" s="153" t="s">
        <v>55</v>
      </c>
      <c r="Y392" s="154" t="s">
        <v>56</v>
      </c>
      <c r="Z392" s="155" t="s">
        <v>57</v>
      </c>
      <c r="AA392" s="156" t="s">
        <v>42</v>
      </c>
      <c r="AB392" s="157" t="s">
        <v>58</v>
      </c>
      <c r="AC392" s="158" t="s">
        <v>59</v>
      </c>
      <c r="AD392" s="153" t="s">
        <v>54</v>
      </c>
      <c r="AE392" s="153" t="s">
        <v>60</v>
      </c>
      <c r="AF392" s="159" t="s">
        <v>61</v>
      </c>
      <c r="AG392" s="159" t="s">
        <v>62</v>
      </c>
      <c r="AH392" s="159" t="s">
        <v>63</v>
      </c>
      <c r="AI392" s="159" t="s">
        <v>64</v>
      </c>
      <c r="AJ392" s="159" t="s">
        <v>64</v>
      </c>
      <c r="AK392" s="197" t="s">
        <v>64</v>
      </c>
    </row>
    <row r="393" spans="1:41" ht="84.75" customHeight="1" thickBot="1" x14ac:dyDescent="0.25">
      <c r="B393" s="196" t="s">
        <v>42</v>
      </c>
      <c r="C393" s="143">
        <v>1510</v>
      </c>
      <c r="D393" s="143" t="s">
        <v>203</v>
      </c>
      <c r="E393" s="143" t="s">
        <v>204</v>
      </c>
      <c r="F393" s="175" t="s">
        <v>111</v>
      </c>
      <c r="G393" s="175" t="s">
        <v>112</v>
      </c>
      <c r="H393" s="175" t="s">
        <v>1019</v>
      </c>
      <c r="I393" s="176">
        <f>164220-164220</f>
        <v>0</v>
      </c>
      <c r="J393" s="177" t="s">
        <v>244</v>
      </c>
      <c r="K393" s="177" t="s">
        <v>48</v>
      </c>
      <c r="L393" s="178" t="s">
        <v>1020</v>
      </c>
      <c r="M393" s="143">
        <v>46181700</v>
      </c>
      <c r="N393" s="239"/>
      <c r="O393" s="153">
        <v>8</v>
      </c>
      <c r="P393" s="146">
        <v>9</v>
      </c>
      <c r="Q393" s="147">
        <v>3</v>
      </c>
      <c r="R393" s="148" t="s">
        <v>51</v>
      </c>
      <c r="S393" s="149" t="s">
        <v>783</v>
      </c>
      <c r="T393" s="150" t="s">
        <v>53</v>
      </c>
      <c r="U393" s="151">
        <f t="shared" si="36"/>
        <v>0</v>
      </c>
      <c r="V393" s="152">
        <f t="shared" si="37"/>
        <v>0</v>
      </c>
      <c r="W393" s="153" t="s">
        <v>54</v>
      </c>
      <c r="X393" s="153" t="s">
        <v>55</v>
      </c>
      <c r="Y393" s="154" t="s">
        <v>56</v>
      </c>
      <c r="Z393" s="155" t="s">
        <v>57</v>
      </c>
      <c r="AA393" s="156" t="s">
        <v>42</v>
      </c>
      <c r="AB393" s="157" t="s">
        <v>58</v>
      </c>
      <c r="AC393" s="158" t="s">
        <v>59</v>
      </c>
      <c r="AD393" s="153" t="s">
        <v>54</v>
      </c>
      <c r="AE393" s="153" t="s">
        <v>60</v>
      </c>
      <c r="AF393" s="159" t="s">
        <v>61</v>
      </c>
      <c r="AG393" s="159" t="s">
        <v>62</v>
      </c>
      <c r="AH393" s="159" t="s">
        <v>63</v>
      </c>
      <c r="AI393" s="159" t="s">
        <v>64</v>
      </c>
      <c r="AJ393" s="159" t="s">
        <v>64</v>
      </c>
      <c r="AK393" s="197" t="s">
        <v>64</v>
      </c>
    </row>
    <row r="394" spans="1:41" ht="84.75" customHeight="1" thickBot="1" x14ac:dyDescent="0.25">
      <c r="B394" s="196" t="s">
        <v>42</v>
      </c>
      <c r="C394" s="143">
        <v>1510</v>
      </c>
      <c r="D394" s="143" t="s">
        <v>203</v>
      </c>
      <c r="E394" s="143" t="s">
        <v>204</v>
      </c>
      <c r="F394" s="175" t="s">
        <v>111</v>
      </c>
      <c r="G394" s="175" t="s">
        <v>112</v>
      </c>
      <c r="H394" s="175" t="s">
        <v>1021</v>
      </c>
      <c r="I394" s="176">
        <f>8514632+456237+6191484</f>
        <v>15162353</v>
      </c>
      <c r="J394" s="177" t="s">
        <v>244</v>
      </c>
      <c r="K394" s="177" t="s">
        <v>54</v>
      </c>
      <c r="L394" s="178" t="s">
        <v>1022</v>
      </c>
      <c r="M394" s="143" t="s">
        <v>1023</v>
      </c>
      <c r="N394" s="239" t="s">
        <v>1021</v>
      </c>
      <c r="O394" s="153">
        <v>8</v>
      </c>
      <c r="P394" s="146">
        <v>9</v>
      </c>
      <c r="Q394" s="147">
        <v>3</v>
      </c>
      <c r="R394" s="148" t="s">
        <v>51</v>
      </c>
      <c r="S394" s="149" t="s">
        <v>783</v>
      </c>
      <c r="T394" s="150" t="s">
        <v>53</v>
      </c>
      <c r="U394" s="151">
        <f t="shared" si="36"/>
        <v>15162353</v>
      </c>
      <c r="V394" s="152">
        <f t="shared" si="37"/>
        <v>15162353</v>
      </c>
      <c r="W394" s="153" t="s">
        <v>54</v>
      </c>
      <c r="X394" s="153" t="s">
        <v>55</v>
      </c>
      <c r="Y394" s="154" t="s">
        <v>56</v>
      </c>
      <c r="Z394" s="155" t="s">
        <v>57</v>
      </c>
      <c r="AA394" s="156" t="s">
        <v>42</v>
      </c>
      <c r="AB394" s="157" t="s">
        <v>58</v>
      </c>
      <c r="AC394" s="158" t="s">
        <v>59</v>
      </c>
      <c r="AD394" s="153" t="s">
        <v>54</v>
      </c>
      <c r="AE394" s="153" t="s">
        <v>60</v>
      </c>
      <c r="AF394" s="159" t="s">
        <v>61</v>
      </c>
      <c r="AG394" s="159" t="s">
        <v>62</v>
      </c>
      <c r="AH394" s="159" t="s">
        <v>63</v>
      </c>
      <c r="AI394" s="159" t="s">
        <v>64</v>
      </c>
      <c r="AJ394" s="159" t="s">
        <v>64</v>
      </c>
      <c r="AK394" s="197" t="s">
        <v>64</v>
      </c>
    </row>
    <row r="395" spans="1:41" ht="84.75" customHeight="1" thickBot="1" x14ac:dyDescent="0.25">
      <c r="B395" s="196" t="s">
        <v>42</v>
      </c>
      <c r="C395" s="143">
        <v>1510</v>
      </c>
      <c r="D395" s="143" t="s">
        <v>203</v>
      </c>
      <c r="E395" s="143" t="s">
        <v>204</v>
      </c>
      <c r="F395" s="175" t="s">
        <v>114</v>
      </c>
      <c r="G395" s="175" t="s">
        <v>115</v>
      </c>
      <c r="H395" s="175" t="s">
        <v>1021</v>
      </c>
      <c r="I395" s="176">
        <f>4411543+2844100+3500000</f>
        <v>10755643</v>
      </c>
      <c r="J395" s="177" t="s">
        <v>244</v>
      </c>
      <c r="K395" s="177" t="s">
        <v>54</v>
      </c>
      <c r="L395" s="178" t="s">
        <v>1022</v>
      </c>
      <c r="M395" s="143" t="s">
        <v>1023</v>
      </c>
      <c r="N395" s="239"/>
      <c r="O395" s="153">
        <v>8</v>
      </c>
      <c r="P395" s="146">
        <v>9</v>
      </c>
      <c r="Q395" s="147">
        <v>3</v>
      </c>
      <c r="R395" s="148" t="s">
        <v>51</v>
      </c>
      <c r="S395" s="149" t="s">
        <v>783</v>
      </c>
      <c r="T395" s="150" t="s">
        <v>53</v>
      </c>
      <c r="U395" s="151">
        <f t="shared" si="36"/>
        <v>10755643</v>
      </c>
      <c r="V395" s="152">
        <f t="shared" si="37"/>
        <v>10755643</v>
      </c>
      <c r="W395" s="153" t="s">
        <v>54</v>
      </c>
      <c r="X395" s="153" t="s">
        <v>55</v>
      </c>
      <c r="Y395" s="154" t="s">
        <v>56</v>
      </c>
      <c r="Z395" s="155" t="s">
        <v>57</v>
      </c>
      <c r="AA395" s="156" t="s">
        <v>42</v>
      </c>
      <c r="AB395" s="157" t="s">
        <v>58</v>
      </c>
      <c r="AC395" s="158" t="s">
        <v>59</v>
      </c>
      <c r="AD395" s="153" t="s">
        <v>54</v>
      </c>
      <c r="AE395" s="153" t="s">
        <v>60</v>
      </c>
      <c r="AF395" s="159" t="s">
        <v>61</v>
      </c>
      <c r="AG395" s="159" t="s">
        <v>62</v>
      </c>
      <c r="AH395" s="159" t="s">
        <v>63</v>
      </c>
      <c r="AI395" s="159" t="s">
        <v>64</v>
      </c>
      <c r="AJ395" s="159" t="s">
        <v>64</v>
      </c>
      <c r="AK395" s="197" t="s">
        <v>64</v>
      </c>
    </row>
    <row r="396" spans="1:41" ht="84.75" customHeight="1" thickBot="1" x14ac:dyDescent="0.25">
      <c r="B396" s="196" t="s">
        <v>293</v>
      </c>
      <c r="C396" s="143">
        <v>1324</v>
      </c>
      <c r="D396" s="143" t="s">
        <v>294</v>
      </c>
      <c r="E396" s="143" t="s">
        <v>295</v>
      </c>
      <c r="F396" s="175" t="s">
        <v>126</v>
      </c>
      <c r="G396" s="175" t="s">
        <v>127</v>
      </c>
      <c r="H396" s="175" t="s">
        <v>1024</v>
      </c>
      <c r="I396" s="176">
        <f>5000000-2500000</f>
        <v>2500000</v>
      </c>
      <c r="J396" s="177" t="s">
        <v>60</v>
      </c>
      <c r="K396" s="177" t="s">
        <v>48</v>
      </c>
      <c r="L396" s="178" t="s">
        <v>1025</v>
      </c>
      <c r="M396" s="143" t="s">
        <v>563</v>
      </c>
      <c r="N396" s="161" t="str">
        <f>H396</f>
        <v>Prestar los servicios para proporcionar información y herramientas prácticas para mejorar su empleabilidad a los participantes de la Feria Laboral de la Universidad Pedagógica Nacional en el campo de la educación, en el marco del evento cultural Encuentro General de Egresados UPN.</v>
      </c>
      <c r="O396" s="153">
        <v>8</v>
      </c>
      <c r="P396" s="146">
        <v>9</v>
      </c>
      <c r="Q396" s="147">
        <v>3</v>
      </c>
      <c r="R396" s="148" t="s">
        <v>51</v>
      </c>
      <c r="S396" s="149" t="s">
        <v>286</v>
      </c>
      <c r="T396" s="150" t="s">
        <v>53</v>
      </c>
      <c r="U396" s="151">
        <f t="shared" si="36"/>
        <v>2500000</v>
      </c>
      <c r="V396" s="152">
        <f t="shared" si="37"/>
        <v>2500000</v>
      </c>
      <c r="W396" s="153" t="s">
        <v>54</v>
      </c>
      <c r="X396" s="153" t="s">
        <v>55</v>
      </c>
      <c r="Y396" s="154" t="s">
        <v>56</v>
      </c>
      <c r="Z396" s="155" t="s">
        <v>57</v>
      </c>
      <c r="AA396" s="156" t="s">
        <v>293</v>
      </c>
      <c r="AB396" s="157" t="s">
        <v>58</v>
      </c>
      <c r="AC396" s="158" t="s">
        <v>59</v>
      </c>
      <c r="AD396" s="153" t="s">
        <v>54</v>
      </c>
      <c r="AE396" s="153" t="s">
        <v>60</v>
      </c>
      <c r="AF396" s="159" t="s">
        <v>61</v>
      </c>
      <c r="AG396" s="159" t="s">
        <v>62</v>
      </c>
      <c r="AH396" s="159" t="s">
        <v>63</v>
      </c>
      <c r="AI396" s="159" t="s">
        <v>64</v>
      </c>
      <c r="AJ396" s="159" t="s">
        <v>64</v>
      </c>
      <c r="AK396" s="197" t="s">
        <v>64</v>
      </c>
    </row>
    <row r="397" spans="1:41" s="8" customFormat="1" ht="84.75" customHeight="1" thickBot="1" x14ac:dyDescent="0.25">
      <c r="A397" s="1"/>
      <c r="B397" s="196" t="s">
        <v>42</v>
      </c>
      <c r="C397" s="143">
        <v>1325</v>
      </c>
      <c r="D397" s="143" t="s">
        <v>155</v>
      </c>
      <c r="E397" s="143" t="s">
        <v>156</v>
      </c>
      <c r="F397" s="175" t="s">
        <v>123</v>
      </c>
      <c r="G397" s="175" t="s">
        <v>124</v>
      </c>
      <c r="H397" s="175" t="s">
        <v>1026</v>
      </c>
      <c r="I397" s="176">
        <v>3570000</v>
      </c>
      <c r="J397" s="177" t="s">
        <v>575</v>
      </c>
      <c r="K397" s="177" t="s">
        <v>48</v>
      </c>
      <c r="L397" s="178" t="s">
        <v>1027</v>
      </c>
      <c r="M397" s="143" t="s">
        <v>563</v>
      </c>
      <c r="N397" s="161" t="s">
        <v>1028</v>
      </c>
      <c r="O397" s="153">
        <v>8</v>
      </c>
      <c r="P397" s="146">
        <v>9</v>
      </c>
      <c r="Q397" s="147">
        <v>3</v>
      </c>
      <c r="R397" s="148" t="s">
        <v>51</v>
      </c>
      <c r="S397" s="149" t="s">
        <v>286</v>
      </c>
      <c r="T397" s="150" t="s">
        <v>53</v>
      </c>
      <c r="U397" s="151">
        <f t="shared" si="36"/>
        <v>3570000</v>
      </c>
      <c r="V397" s="152">
        <f t="shared" si="37"/>
        <v>3570000</v>
      </c>
      <c r="W397" s="153" t="s">
        <v>54</v>
      </c>
      <c r="X397" s="153" t="s">
        <v>55</v>
      </c>
      <c r="Y397" s="154" t="s">
        <v>56</v>
      </c>
      <c r="Z397" s="155" t="s">
        <v>57</v>
      </c>
      <c r="AA397" s="156" t="s">
        <v>42</v>
      </c>
      <c r="AB397" s="157" t="s">
        <v>58</v>
      </c>
      <c r="AC397" s="158" t="s">
        <v>59</v>
      </c>
      <c r="AD397" s="153" t="s">
        <v>54</v>
      </c>
      <c r="AE397" s="153" t="s">
        <v>60</v>
      </c>
      <c r="AF397" s="159" t="s">
        <v>61</v>
      </c>
      <c r="AG397" s="159" t="s">
        <v>62</v>
      </c>
      <c r="AH397" s="159" t="s">
        <v>63</v>
      </c>
      <c r="AI397" s="159" t="s">
        <v>64</v>
      </c>
      <c r="AJ397" s="159" t="s">
        <v>64</v>
      </c>
      <c r="AK397" s="197" t="s">
        <v>64</v>
      </c>
      <c r="AL397" s="42"/>
      <c r="AM397" s="42"/>
      <c r="AN397" s="42"/>
      <c r="AO397" s="42"/>
    </row>
    <row r="398" spans="1:41" s="8" customFormat="1" ht="84.75" customHeight="1" thickBot="1" x14ac:dyDescent="0.25">
      <c r="A398" s="1"/>
      <c r="B398" s="196" t="s">
        <v>42</v>
      </c>
      <c r="C398" s="143">
        <v>1325</v>
      </c>
      <c r="D398" s="143" t="s">
        <v>155</v>
      </c>
      <c r="E398" s="143" t="s">
        <v>156</v>
      </c>
      <c r="F398" s="175" t="s">
        <v>123</v>
      </c>
      <c r="G398" s="175" t="s">
        <v>124</v>
      </c>
      <c r="H398" s="175" t="s">
        <v>1029</v>
      </c>
      <c r="I398" s="176">
        <v>10000000</v>
      </c>
      <c r="J398" s="177" t="s">
        <v>60</v>
      </c>
      <c r="K398" s="177" t="s">
        <v>48</v>
      </c>
      <c r="L398" s="178" t="s">
        <v>1030</v>
      </c>
      <c r="M398" s="143" t="s">
        <v>569</v>
      </c>
      <c r="N398" s="161" t="str">
        <f t="shared" ref="N398:N406" si="39">H398</f>
        <v>Adicionar el contrato de prestación de servicios No. 745 de 2023, cuyo objeto es "Prestar los servicios de operación para la facturación electrónica de venta de la Universidad Pedagógica Nacional. " </v>
      </c>
      <c r="O398" s="153">
        <v>8</v>
      </c>
      <c r="P398" s="146">
        <v>9</v>
      </c>
      <c r="Q398" s="147">
        <v>3</v>
      </c>
      <c r="R398" s="148" t="s">
        <v>51</v>
      </c>
      <c r="S398" s="149" t="s">
        <v>286</v>
      </c>
      <c r="T398" s="150" t="s">
        <v>53</v>
      </c>
      <c r="U398" s="151">
        <f t="shared" si="36"/>
        <v>10000000</v>
      </c>
      <c r="V398" s="152">
        <f t="shared" si="37"/>
        <v>10000000</v>
      </c>
      <c r="W398" s="153" t="s">
        <v>54</v>
      </c>
      <c r="X398" s="153" t="s">
        <v>55</v>
      </c>
      <c r="Y398" s="154" t="s">
        <v>56</v>
      </c>
      <c r="Z398" s="155" t="s">
        <v>57</v>
      </c>
      <c r="AA398" s="156" t="s">
        <v>42</v>
      </c>
      <c r="AB398" s="157" t="s">
        <v>58</v>
      </c>
      <c r="AC398" s="158" t="s">
        <v>59</v>
      </c>
      <c r="AD398" s="153" t="s">
        <v>54</v>
      </c>
      <c r="AE398" s="153" t="s">
        <v>60</v>
      </c>
      <c r="AF398" s="159" t="s">
        <v>61</v>
      </c>
      <c r="AG398" s="159" t="s">
        <v>62</v>
      </c>
      <c r="AH398" s="159" t="s">
        <v>63</v>
      </c>
      <c r="AI398" s="159" t="s">
        <v>64</v>
      </c>
      <c r="AJ398" s="159" t="s">
        <v>64</v>
      </c>
      <c r="AK398" s="197" t="s">
        <v>64</v>
      </c>
      <c r="AL398" s="42"/>
      <c r="AM398" s="42"/>
      <c r="AN398" s="42"/>
      <c r="AO398" s="42"/>
    </row>
    <row r="399" spans="1:41" s="8" customFormat="1" ht="84.75" customHeight="1" thickBot="1" x14ac:dyDescent="0.25">
      <c r="A399" s="1"/>
      <c r="B399" s="196" t="s">
        <v>42</v>
      </c>
      <c r="C399" s="143">
        <v>1320</v>
      </c>
      <c r="D399" s="143" t="s">
        <v>150</v>
      </c>
      <c r="E399" s="143" t="s">
        <v>44</v>
      </c>
      <c r="F399" s="175" t="s">
        <v>126</v>
      </c>
      <c r="G399" s="175" t="s">
        <v>127</v>
      </c>
      <c r="H399" s="175" t="s">
        <v>1031</v>
      </c>
      <c r="I399" s="176">
        <v>1250000</v>
      </c>
      <c r="J399" s="177" t="s">
        <v>48</v>
      </c>
      <c r="K399" s="177" t="s">
        <v>48</v>
      </c>
      <c r="L399" s="178" t="s">
        <v>143</v>
      </c>
      <c r="M399" s="143" t="s">
        <v>50</v>
      </c>
      <c r="N399" s="161" t="str">
        <f t="shared" si="39"/>
        <v>Amparar el pago  del desarrollo de las actividades de sensibilización dirigidas a la Comunidad Universitaria sobre la importancia de la correcta gestión de residuos y la reducción en la generación de los mismos, con el fin Contribuir al mejoramiento del Sistema de Gestión Ambiental de la UPN.</v>
      </c>
      <c r="O399" s="153">
        <v>8</v>
      </c>
      <c r="P399" s="146">
        <v>9</v>
      </c>
      <c r="Q399" s="147">
        <v>3</v>
      </c>
      <c r="R399" s="148" t="s">
        <v>51</v>
      </c>
      <c r="S399" s="149" t="s">
        <v>286</v>
      </c>
      <c r="T399" s="150" t="s">
        <v>53</v>
      </c>
      <c r="U399" s="151">
        <f t="shared" si="36"/>
        <v>1250000</v>
      </c>
      <c r="V399" s="152">
        <f t="shared" si="37"/>
        <v>1250000</v>
      </c>
      <c r="W399" s="153" t="s">
        <v>54</v>
      </c>
      <c r="X399" s="153" t="s">
        <v>55</v>
      </c>
      <c r="Y399" s="154" t="s">
        <v>56</v>
      </c>
      <c r="Z399" s="155" t="s">
        <v>57</v>
      </c>
      <c r="AA399" s="156" t="s">
        <v>42</v>
      </c>
      <c r="AB399" s="157" t="s">
        <v>58</v>
      </c>
      <c r="AC399" s="158" t="s">
        <v>59</v>
      </c>
      <c r="AD399" s="153" t="s">
        <v>54</v>
      </c>
      <c r="AE399" s="153" t="s">
        <v>60</v>
      </c>
      <c r="AF399" s="159" t="s">
        <v>61</v>
      </c>
      <c r="AG399" s="159" t="s">
        <v>62</v>
      </c>
      <c r="AH399" s="159" t="s">
        <v>63</v>
      </c>
      <c r="AI399" s="159" t="s">
        <v>64</v>
      </c>
      <c r="AJ399" s="159" t="s">
        <v>64</v>
      </c>
      <c r="AK399" s="197" t="s">
        <v>64</v>
      </c>
      <c r="AL399" s="42"/>
      <c r="AM399" s="42"/>
      <c r="AN399" s="42"/>
      <c r="AO399" s="42"/>
    </row>
    <row r="400" spans="1:41" s="8" customFormat="1" ht="84.75" customHeight="1" thickBot="1" x14ac:dyDescent="0.25">
      <c r="A400" s="1"/>
      <c r="B400" s="196" t="s">
        <v>42</v>
      </c>
      <c r="C400" s="143">
        <v>1320</v>
      </c>
      <c r="D400" s="143" t="s">
        <v>150</v>
      </c>
      <c r="E400" s="143" t="s">
        <v>44</v>
      </c>
      <c r="F400" s="175" t="s">
        <v>123</v>
      </c>
      <c r="G400" s="175" t="s">
        <v>345</v>
      </c>
      <c r="H400" s="175" t="s">
        <v>1032</v>
      </c>
      <c r="I400" s="176">
        <v>600000</v>
      </c>
      <c r="J400" s="177" t="s">
        <v>48</v>
      </c>
      <c r="K400" s="177" t="s">
        <v>48</v>
      </c>
      <c r="L400" s="178" t="s">
        <v>143</v>
      </c>
      <c r="M400" s="143" t="s">
        <v>50</v>
      </c>
      <c r="N400" s="161" t="str">
        <f t="shared" si="39"/>
        <v>Amparar el pago de las consultas necesarias ante las entidades distritales de la ciudad de Bogotá, para obtener información sobre la licencia de construcción del Instituto Pedagógico Nacional centro de prácticas de la Universidad Pedagógica Nacional</v>
      </c>
      <c r="O400" s="153">
        <v>8</v>
      </c>
      <c r="P400" s="146">
        <v>9</v>
      </c>
      <c r="Q400" s="147">
        <v>3</v>
      </c>
      <c r="R400" s="148" t="s">
        <v>51</v>
      </c>
      <c r="S400" s="149" t="s">
        <v>286</v>
      </c>
      <c r="T400" s="150" t="s">
        <v>53</v>
      </c>
      <c r="U400" s="151">
        <f t="shared" si="36"/>
        <v>600000</v>
      </c>
      <c r="V400" s="152">
        <f t="shared" si="37"/>
        <v>600000</v>
      </c>
      <c r="W400" s="153" t="s">
        <v>54</v>
      </c>
      <c r="X400" s="153" t="s">
        <v>55</v>
      </c>
      <c r="Y400" s="154" t="s">
        <v>56</v>
      </c>
      <c r="Z400" s="155" t="s">
        <v>57</v>
      </c>
      <c r="AA400" s="156" t="s">
        <v>42</v>
      </c>
      <c r="AB400" s="157" t="s">
        <v>58</v>
      </c>
      <c r="AC400" s="158" t="s">
        <v>59</v>
      </c>
      <c r="AD400" s="153" t="s">
        <v>54</v>
      </c>
      <c r="AE400" s="153" t="s">
        <v>60</v>
      </c>
      <c r="AF400" s="159" t="s">
        <v>61</v>
      </c>
      <c r="AG400" s="159" t="s">
        <v>62</v>
      </c>
      <c r="AH400" s="159" t="s">
        <v>63</v>
      </c>
      <c r="AI400" s="159" t="s">
        <v>64</v>
      </c>
      <c r="AJ400" s="159" t="s">
        <v>64</v>
      </c>
      <c r="AK400" s="197" t="s">
        <v>64</v>
      </c>
      <c r="AL400" s="42"/>
      <c r="AM400" s="42"/>
      <c r="AN400" s="42"/>
      <c r="AO400" s="42"/>
    </row>
    <row r="401" spans="1:41" s="8" customFormat="1" ht="84.75" customHeight="1" thickBot="1" x14ac:dyDescent="0.25">
      <c r="A401" s="1"/>
      <c r="B401" s="196" t="s">
        <v>42</v>
      </c>
      <c r="C401" s="143">
        <v>1325</v>
      </c>
      <c r="D401" s="143" t="s">
        <v>155</v>
      </c>
      <c r="E401" s="143" t="s">
        <v>156</v>
      </c>
      <c r="F401" s="175" t="s">
        <v>114</v>
      </c>
      <c r="G401" s="175" t="s">
        <v>115</v>
      </c>
      <c r="H401" s="175" t="s">
        <v>1033</v>
      </c>
      <c r="I401" s="176">
        <v>7125720</v>
      </c>
      <c r="J401" s="177" t="s">
        <v>60</v>
      </c>
      <c r="K401" s="177" t="s">
        <v>48</v>
      </c>
      <c r="L401" s="178" t="s">
        <v>1034</v>
      </c>
      <c r="M401" s="143">
        <v>43231500</v>
      </c>
      <c r="N401" s="161" t="str">
        <f t="shared" si="39"/>
        <v>Adquirir 6 licencias vitalicias de la aplicación Zebra Designer Pro 3, para diseño e impresión de código de barras</v>
      </c>
      <c r="O401" s="153">
        <v>8</v>
      </c>
      <c r="P401" s="146">
        <v>9</v>
      </c>
      <c r="Q401" s="147">
        <v>3</v>
      </c>
      <c r="R401" s="148" t="s">
        <v>51</v>
      </c>
      <c r="S401" s="149" t="s">
        <v>286</v>
      </c>
      <c r="T401" s="150" t="s">
        <v>53</v>
      </c>
      <c r="U401" s="151">
        <f t="shared" si="36"/>
        <v>7125720</v>
      </c>
      <c r="V401" s="152">
        <f t="shared" si="37"/>
        <v>7125720</v>
      </c>
      <c r="W401" s="153" t="s">
        <v>54</v>
      </c>
      <c r="X401" s="153" t="s">
        <v>55</v>
      </c>
      <c r="Y401" s="154" t="s">
        <v>56</v>
      </c>
      <c r="Z401" s="155" t="s">
        <v>57</v>
      </c>
      <c r="AA401" s="156" t="s">
        <v>42</v>
      </c>
      <c r="AB401" s="157" t="s">
        <v>58</v>
      </c>
      <c r="AC401" s="158" t="s">
        <v>59</v>
      </c>
      <c r="AD401" s="153" t="s">
        <v>54</v>
      </c>
      <c r="AE401" s="153" t="s">
        <v>60</v>
      </c>
      <c r="AF401" s="159" t="s">
        <v>61</v>
      </c>
      <c r="AG401" s="159" t="s">
        <v>62</v>
      </c>
      <c r="AH401" s="159" t="s">
        <v>63</v>
      </c>
      <c r="AI401" s="159" t="s">
        <v>64</v>
      </c>
      <c r="AJ401" s="159" t="s">
        <v>64</v>
      </c>
      <c r="AK401" s="197" t="s">
        <v>64</v>
      </c>
      <c r="AL401" s="42"/>
      <c r="AM401" s="42"/>
      <c r="AN401" s="42"/>
      <c r="AO401" s="42"/>
    </row>
    <row r="402" spans="1:41" s="8" customFormat="1" ht="84.75" customHeight="1" thickBot="1" x14ac:dyDescent="0.25">
      <c r="A402" s="1"/>
      <c r="B402" s="196" t="s">
        <v>42</v>
      </c>
      <c r="C402" s="143">
        <v>1320</v>
      </c>
      <c r="D402" s="143" t="s">
        <v>150</v>
      </c>
      <c r="E402" s="143" t="s">
        <v>44</v>
      </c>
      <c r="F402" s="175" t="s">
        <v>111</v>
      </c>
      <c r="G402" s="175" t="s">
        <v>112</v>
      </c>
      <c r="H402" s="175" t="s">
        <v>1035</v>
      </c>
      <c r="I402" s="176">
        <v>8353800</v>
      </c>
      <c r="J402" s="177" t="s">
        <v>60</v>
      </c>
      <c r="K402" s="177" t="s">
        <v>48</v>
      </c>
      <c r="L402" s="178" t="s">
        <v>1036</v>
      </c>
      <c r="M402" s="143" t="s">
        <v>1037</v>
      </c>
      <c r="N402" s="161" t="str">
        <f t="shared" si="39"/>
        <v>Suministro de estructuras en cartón corrugado con impresión de textos cortos e imágenes full color, en el marco de la Exposición " Año Pierre Parlebas"</v>
      </c>
      <c r="O402" s="153">
        <v>8</v>
      </c>
      <c r="P402" s="146">
        <v>9</v>
      </c>
      <c r="Q402" s="147">
        <v>3</v>
      </c>
      <c r="R402" s="148" t="s">
        <v>51</v>
      </c>
      <c r="S402" s="149" t="s">
        <v>286</v>
      </c>
      <c r="T402" s="150" t="s">
        <v>282</v>
      </c>
      <c r="U402" s="151">
        <f t="shared" si="36"/>
        <v>8353800</v>
      </c>
      <c r="V402" s="152">
        <f t="shared" si="37"/>
        <v>8353800</v>
      </c>
      <c r="W402" s="153" t="s">
        <v>54</v>
      </c>
      <c r="X402" s="153" t="s">
        <v>55</v>
      </c>
      <c r="Y402" s="154" t="s">
        <v>56</v>
      </c>
      <c r="Z402" s="155" t="s">
        <v>57</v>
      </c>
      <c r="AA402" s="156" t="s">
        <v>42</v>
      </c>
      <c r="AB402" s="157" t="s">
        <v>58</v>
      </c>
      <c r="AC402" s="158" t="s">
        <v>59</v>
      </c>
      <c r="AD402" s="153" t="s">
        <v>54</v>
      </c>
      <c r="AE402" s="153" t="s">
        <v>60</v>
      </c>
      <c r="AF402" s="159" t="s">
        <v>61</v>
      </c>
      <c r="AG402" s="159" t="s">
        <v>62</v>
      </c>
      <c r="AH402" s="159" t="s">
        <v>63</v>
      </c>
      <c r="AI402" s="159" t="s">
        <v>64</v>
      </c>
      <c r="AJ402" s="159" t="s">
        <v>64</v>
      </c>
      <c r="AK402" s="197" t="s">
        <v>64</v>
      </c>
      <c r="AL402" s="42"/>
      <c r="AM402" s="42"/>
      <c r="AN402" s="42"/>
      <c r="AO402" s="42"/>
    </row>
    <row r="403" spans="1:41" s="8" customFormat="1" ht="84.75" customHeight="1" thickBot="1" x14ac:dyDescent="0.25">
      <c r="A403" s="1"/>
      <c r="B403" s="196" t="s">
        <v>42</v>
      </c>
      <c r="C403" s="143">
        <v>1320</v>
      </c>
      <c r="D403" s="143" t="s">
        <v>150</v>
      </c>
      <c r="E403" s="143" t="s">
        <v>44</v>
      </c>
      <c r="F403" s="175" t="s">
        <v>120</v>
      </c>
      <c r="G403" s="175" t="s">
        <v>121</v>
      </c>
      <c r="H403" s="175" t="s">
        <v>1038</v>
      </c>
      <c r="I403" s="176">
        <v>4760000</v>
      </c>
      <c r="J403" s="177" t="s">
        <v>60</v>
      </c>
      <c r="K403" s="177" t="s">
        <v>48</v>
      </c>
      <c r="L403" s="178" t="s">
        <v>1039</v>
      </c>
      <c r="M403" s="143">
        <v>80131800</v>
      </c>
      <c r="N403" s="161" t="str">
        <f t="shared" si="39"/>
        <v>"Realizar el avalúo comercial de un inmueble objeto de estudio por parte de la Universidad Pedagógica Nacional para determinar su adquisición"</v>
      </c>
      <c r="O403" s="153">
        <v>8</v>
      </c>
      <c r="P403" s="146">
        <v>9</v>
      </c>
      <c r="Q403" s="147">
        <v>3</v>
      </c>
      <c r="R403" s="148" t="s">
        <v>51</v>
      </c>
      <c r="S403" s="149" t="s">
        <v>286</v>
      </c>
      <c r="T403" s="150" t="s">
        <v>282</v>
      </c>
      <c r="U403" s="151">
        <f t="shared" si="36"/>
        <v>4760000</v>
      </c>
      <c r="V403" s="152">
        <f t="shared" si="37"/>
        <v>4760000</v>
      </c>
      <c r="W403" s="153" t="s">
        <v>54</v>
      </c>
      <c r="X403" s="153" t="s">
        <v>55</v>
      </c>
      <c r="Y403" s="154" t="s">
        <v>56</v>
      </c>
      <c r="Z403" s="155" t="s">
        <v>57</v>
      </c>
      <c r="AA403" s="156" t="s">
        <v>42</v>
      </c>
      <c r="AB403" s="157" t="s">
        <v>58</v>
      </c>
      <c r="AC403" s="158" t="s">
        <v>59</v>
      </c>
      <c r="AD403" s="153" t="s">
        <v>54</v>
      </c>
      <c r="AE403" s="153" t="s">
        <v>60</v>
      </c>
      <c r="AF403" s="159" t="s">
        <v>61</v>
      </c>
      <c r="AG403" s="159" t="s">
        <v>62</v>
      </c>
      <c r="AH403" s="159" t="s">
        <v>63</v>
      </c>
      <c r="AI403" s="159" t="s">
        <v>64</v>
      </c>
      <c r="AJ403" s="159" t="s">
        <v>64</v>
      </c>
      <c r="AK403" s="197" t="s">
        <v>64</v>
      </c>
      <c r="AL403" s="42"/>
      <c r="AM403" s="42"/>
      <c r="AN403" s="42"/>
      <c r="AO403" s="42"/>
    </row>
    <row r="404" spans="1:41" ht="84.75" customHeight="1" thickBot="1" x14ac:dyDescent="0.25">
      <c r="A404" s="1"/>
      <c r="B404" s="196" t="s">
        <v>42</v>
      </c>
      <c r="C404" s="143">
        <v>1320</v>
      </c>
      <c r="D404" s="143" t="s">
        <v>150</v>
      </c>
      <c r="E404" s="143" t="s">
        <v>236</v>
      </c>
      <c r="F404" s="175" t="s">
        <v>120</v>
      </c>
      <c r="G404" s="175" t="s">
        <v>121</v>
      </c>
      <c r="H404" s="175" t="s">
        <v>1040</v>
      </c>
      <c r="I404" s="176">
        <v>50000000</v>
      </c>
      <c r="J404" s="177" t="s">
        <v>48</v>
      </c>
      <c r="K404" s="177" t="s">
        <v>48</v>
      </c>
      <c r="L404" s="178" t="s">
        <v>238</v>
      </c>
      <c r="M404" s="143" t="s">
        <v>50</v>
      </c>
      <c r="N404" s="145" t="str">
        <f t="shared" si="39"/>
        <v>Amparar los gastos bancarios vigencia 2024 de las operaciones que debe realizar la Universidad Pedagógica Nacional y que cobran las entidades bancarias que no se contemplan en la reciprocidad.</v>
      </c>
      <c r="O404" s="146">
        <v>1</v>
      </c>
      <c r="P404" s="146">
        <v>1</v>
      </c>
      <c r="Q404" s="147">
        <v>11</v>
      </c>
      <c r="R404" s="148" t="s">
        <v>51</v>
      </c>
      <c r="S404" s="149" t="s">
        <v>239</v>
      </c>
      <c r="T404" s="150" t="s">
        <v>282</v>
      </c>
      <c r="U404" s="151">
        <f t="shared" si="36"/>
        <v>50000000</v>
      </c>
      <c r="V404" s="152">
        <f t="shared" si="37"/>
        <v>50000000</v>
      </c>
      <c r="W404" s="153" t="s">
        <v>54</v>
      </c>
      <c r="X404" s="153" t="s">
        <v>55</v>
      </c>
      <c r="Y404" s="154" t="s">
        <v>56</v>
      </c>
      <c r="Z404" s="155" t="s">
        <v>57</v>
      </c>
      <c r="AA404" s="156" t="s">
        <v>42</v>
      </c>
      <c r="AB404" s="157" t="s">
        <v>58</v>
      </c>
      <c r="AC404" s="158" t="s">
        <v>59</v>
      </c>
      <c r="AD404" s="153" t="s">
        <v>54</v>
      </c>
      <c r="AE404" s="153" t="s">
        <v>60</v>
      </c>
      <c r="AF404" s="159" t="s">
        <v>61</v>
      </c>
      <c r="AG404" s="159" t="s">
        <v>62</v>
      </c>
      <c r="AH404" s="159" t="s">
        <v>63</v>
      </c>
      <c r="AI404" s="159" t="s">
        <v>64</v>
      </c>
      <c r="AJ404" s="159" t="s">
        <v>64</v>
      </c>
      <c r="AK404" s="197" t="s">
        <v>64</v>
      </c>
    </row>
    <row r="405" spans="1:41" ht="84.75" customHeight="1" thickBot="1" x14ac:dyDescent="0.25">
      <c r="A405" s="1"/>
      <c r="B405" s="196" t="s">
        <v>42</v>
      </c>
      <c r="C405" s="143">
        <v>1321</v>
      </c>
      <c r="D405" s="143" t="s">
        <v>140</v>
      </c>
      <c r="E405" s="143" t="s">
        <v>141</v>
      </c>
      <c r="F405" s="175" t="s">
        <v>120</v>
      </c>
      <c r="G405" s="175" t="s">
        <v>121</v>
      </c>
      <c r="H405" s="175" t="s">
        <v>1041</v>
      </c>
      <c r="I405" s="176">
        <v>1647574</v>
      </c>
      <c r="J405" s="177" t="s">
        <v>48</v>
      </c>
      <c r="K405" s="177" t="s">
        <v>48</v>
      </c>
      <c r="L405" s="178" t="s">
        <v>143</v>
      </c>
      <c r="M405" s="144" t="s">
        <v>50</v>
      </c>
      <c r="N405" s="145" t="str">
        <f t="shared" si="39"/>
        <v>Amparar el pago del seguimiento y compensación de los conceptos técnicos silviculturales SSFFS14214, 10662, 00360 emitidos por la SDA</v>
      </c>
      <c r="O405" s="153">
        <v>8</v>
      </c>
      <c r="P405" s="146">
        <v>9</v>
      </c>
      <c r="Q405" s="147">
        <v>3</v>
      </c>
      <c r="R405" s="148" t="s">
        <v>51</v>
      </c>
      <c r="S405" s="149" t="s">
        <v>144</v>
      </c>
      <c r="T405" s="150" t="s">
        <v>145</v>
      </c>
      <c r="U405" s="151">
        <f t="shared" si="36"/>
        <v>1647574</v>
      </c>
      <c r="V405" s="152">
        <f t="shared" si="37"/>
        <v>1647574</v>
      </c>
      <c r="W405" s="153" t="s">
        <v>54</v>
      </c>
      <c r="X405" s="153" t="s">
        <v>55</v>
      </c>
      <c r="Y405" s="154" t="s">
        <v>56</v>
      </c>
      <c r="Z405" s="155" t="s">
        <v>57</v>
      </c>
      <c r="AA405" s="156" t="s">
        <v>42</v>
      </c>
      <c r="AB405" s="157" t="s">
        <v>58</v>
      </c>
      <c r="AC405" s="158" t="s">
        <v>59</v>
      </c>
      <c r="AD405" s="153" t="s">
        <v>54</v>
      </c>
      <c r="AE405" s="153" t="s">
        <v>60</v>
      </c>
      <c r="AF405" s="159" t="s">
        <v>61</v>
      </c>
      <c r="AG405" s="159" t="s">
        <v>62</v>
      </c>
      <c r="AH405" s="159" t="s">
        <v>63</v>
      </c>
      <c r="AI405" s="159" t="s">
        <v>64</v>
      </c>
      <c r="AJ405" s="159" t="s">
        <v>64</v>
      </c>
      <c r="AK405" s="197" t="s">
        <v>64</v>
      </c>
    </row>
    <row r="406" spans="1:41" ht="84.75" customHeight="1" thickBot="1" x14ac:dyDescent="0.25">
      <c r="A406" s="1"/>
      <c r="B406" s="196" t="s">
        <v>42</v>
      </c>
      <c r="C406" s="143">
        <v>1320</v>
      </c>
      <c r="D406" s="143" t="s">
        <v>150</v>
      </c>
      <c r="E406" s="143" t="s">
        <v>44</v>
      </c>
      <c r="F406" s="175" t="s">
        <v>950</v>
      </c>
      <c r="G406" s="175" t="s">
        <v>951</v>
      </c>
      <c r="H406" s="175" t="s">
        <v>1042</v>
      </c>
      <c r="I406" s="176">
        <v>2767989</v>
      </c>
      <c r="J406" s="177" t="s">
        <v>60</v>
      </c>
      <c r="K406" s="177" t="s">
        <v>54</v>
      </c>
      <c r="L406" s="178" t="s">
        <v>1043</v>
      </c>
      <c r="M406" s="238" t="s">
        <v>1044</v>
      </c>
      <c r="N406" s="237" t="str">
        <f t="shared" si="39"/>
        <v>Adquirir herramientas y equipo para las actividades de mantenimiento en las instalaciones de la UPN</v>
      </c>
      <c r="O406" s="146">
        <v>8</v>
      </c>
      <c r="P406" s="146">
        <v>9</v>
      </c>
      <c r="Q406" s="147">
        <v>3</v>
      </c>
      <c r="R406" s="148" t="s">
        <v>51</v>
      </c>
      <c r="S406" s="149" t="s">
        <v>505</v>
      </c>
      <c r="T406" s="150" t="s">
        <v>53</v>
      </c>
      <c r="U406" s="151">
        <f t="shared" si="36"/>
        <v>2767989</v>
      </c>
      <c r="V406" s="152">
        <f t="shared" si="37"/>
        <v>2767989</v>
      </c>
      <c r="W406" s="153" t="s">
        <v>54</v>
      </c>
      <c r="X406" s="153" t="s">
        <v>55</v>
      </c>
      <c r="Y406" s="154" t="s">
        <v>56</v>
      </c>
      <c r="Z406" s="155" t="s">
        <v>57</v>
      </c>
      <c r="AA406" s="156" t="s">
        <v>42</v>
      </c>
      <c r="AB406" s="157" t="s">
        <v>58</v>
      </c>
      <c r="AC406" s="158" t="s">
        <v>59</v>
      </c>
      <c r="AD406" s="153" t="s">
        <v>54</v>
      </c>
      <c r="AE406" s="153" t="s">
        <v>60</v>
      </c>
      <c r="AF406" s="159" t="s">
        <v>61</v>
      </c>
      <c r="AG406" s="159" t="s">
        <v>62</v>
      </c>
      <c r="AH406" s="159" t="s">
        <v>63</v>
      </c>
      <c r="AI406" s="159" t="s">
        <v>64</v>
      </c>
      <c r="AJ406" s="159" t="s">
        <v>64</v>
      </c>
      <c r="AK406" s="197" t="s">
        <v>64</v>
      </c>
    </row>
    <row r="407" spans="1:41" ht="84.75" customHeight="1" thickBot="1" x14ac:dyDescent="0.25">
      <c r="A407" s="1"/>
      <c r="B407" s="196" t="s">
        <v>42</v>
      </c>
      <c r="C407" s="143">
        <v>1320</v>
      </c>
      <c r="D407" s="143" t="s">
        <v>150</v>
      </c>
      <c r="E407" s="143" t="s">
        <v>44</v>
      </c>
      <c r="F407" s="175" t="s">
        <v>1045</v>
      </c>
      <c r="G407" s="175" t="s">
        <v>1046</v>
      </c>
      <c r="H407" s="175" t="s">
        <v>1042</v>
      </c>
      <c r="I407" s="176">
        <v>4305499</v>
      </c>
      <c r="J407" s="177" t="s">
        <v>60</v>
      </c>
      <c r="K407" s="177" t="s">
        <v>54</v>
      </c>
      <c r="L407" s="178" t="s">
        <v>1043</v>
      </c>
      <c r="M407" s="238"/>
      <c r="N407" s="237"/>
      <c r="O407" s="146">
        <v>8</v>
      </c>
      <c r="P407" s="146">
        <v>9</v>
      </c>
      <c r="Q407" s="147">
        <v>3</v>
      </c>
      <c r="R407" s="148" t="s">
        <v>51</v>
      </c>
      <c r="S407" s="149" t="s">
        <v>505</v>
      </c>
      <c r="T407" s="150" t="s">
        <v>53</v>
      </c>
      <c r="U407" s="151">
        <f t="shared" si="36"/>
        <v>4305499</v>
      </c>
      <c r="V407" s="152">
        <f t="shared" si="37"/>
        <v>4305499</v>
      </c>
      <c r="W407" s="153" t="s">
        <v>54</v>
      </c>
      <c r="X407" s="153" t="s">
        <v>55</v>
      </c>
      <c r="Y407" s="154" t="s">
        <v>56</v>
      </c>
      <c r="Z407" s="155" t="s">
        <v>57</v>
      </c>
      <c r="AA407" s="156" t="s">
        <v>42</v>
      </c>
      <c r="AB407" s="157" t="s">
        <v>58</v>
      </c>
      <c r="AC407" s="158" t="s">
        <v>59</v>
      </c>
      <c r="AD407" s="153" t="s">
        <v>54</v>
      </c>
      <c r="AE407" s="153" t="s">
        <v>60</v>
      </c>
      <c r="AF407" s="159" t="s">
        <v>61</v>
      </c>
      <c r="AG407" s="159" t="s">
        <v>62</v>
      </c>
      <c r="AH407" s="159" t="s">
        <v>63</v>
      </c>
      <c r="AI407" s="159" t="s">
        <v>64</v>
      </c>
      <c r="AJ407" s="159" t="s">
        <v>64</v>
      </c>
      <c r="AK407" s="197" t="s">
        <v>64</v>
      </c>
    </row>
    <row r="408" spans="1:41" ht="84.75" customHeight="1" thickBot="1" x14ac:dyDescent="0.25">
      <c r="A408" s="1"/>
      <c r="B408" s="196" t="s">
        <v>42</v>
      </c>
      <c r="C408" s="143">
        <v>1320</v>
      </c>
      <c r="D408" s="143" t="s">
        <v>150</v>
      </c>
      <c r="E408" s="143" t="s">
        <v>44</v>
      </c>
      <c r="F408" s="175" t="s">
        <v>1005</v>
      </c>
      <c r="G408" s="175" t="s">
        <v>1047</v>
      </c>
      <c r="H408" s="175" t="s">
        <v>1042</v>
      </c>
      <c r="I408" s="176">
        <v>18955436</v>
      </c>
      <c r="J408" s="177" t="s">
        <v>60</v>
      </c>
      <c r="K408" s="177" t="s">
        <v>54</v>
      </c>
      <c r="L408" s="178" t="s">
        <v>1043</v>
      </c>
      <c r="M408" s="238"/>
      <c r="N408" s="237"/>
      <c r="O408" s="146">
        <v>8</v>
      </c>
      <c r="P408" s="146">
        <v>9</v>
      </c>
      <c r="Q408" s="147">
        <v>3</v>
      </c>
      <c r="R408" s="148" t="s">
        <v>51</v>
      </c>
      <c r="S408" s="149" t="s">
        <v>505</v>
      </c>
      <c r="T408" s="150" t="s">
        <v>53</v>
      </c>
      <c r="U408" s="151">
        <f t="shared" si="36"/>
        <v>18955436</v>
      </c>
      <c r="V408" s="152">
        <f t="shared" si="37"/>
        <v>18955436</v>
      </c>
      <c r="W408" s="153" t="s">
        <v>54</v>
      </c>
      <c r="X408" s="153" t="s">
        <v>55</v>
      </c>
      <c r="Y408" s="154" t="s">
        <v>56</v>
      </c>
      <c r="Z408" s="155" t="s">
        <v>57</v>
      </c>
      <c r="AA408" s="156" t="s">
        <v>42</v>
      </c>
      <c r="AB408" s="157" t="s">
        <v>58</v>
      </c>
      <c r="AC408" s="158" t="s">
        <v>59</v>
      </c>
      <c r="AD408" s="153" t="s">
        <v>54</v>
      </c>
      <c r="AE408" s="153" t="s">
        <v>60</v>
      </c>
      <c r="AF408" s="159" t="s">
        <v>61</v>
      </c>
      <c r="AG408" s="159" t="s">
        <v>62</v>
      </c>
      <c r="AH408" s="159" t="s">
        <v>63</v>
      </c>
      <c r="AI408" s="159" t="s">
        <v>64</v>
      </c>
      <c r="AJ408" s="159" t="s">
        <v>64</v>
      </c>
      <c r="AK408" s="197" t="s">
        <v>64</v>
      </c>
    </row>
    <row r="409" spans="1:41" ht="84.75" customHeight="1" thickBot="1" x14ac:dyDescent="0.25">
      <c r="A409" s="1"/>
      <c r="B409" s="196" t="s">
        <v>42</v>
      </c>
      <c r="C409" s="143">
        <v>1320</v>
      </c>
      <c r="D409" s="143" t="s">
        <v>150</v>
      </c>
      <c r="E409" s="143" t="s">
        <v>44</v>
      </c>
      <c r="F409" s="175" t="s">
        <v>1048</v>
      </c>
      <c r="G409" s="175" t="s">
        <v>1049</v>
      </c>
      <c r="H409" s="175" t="s">
        <v>1042</v>
      </c>
      <c r="I409" s="176">
        <v>7170513</v>
      </c>
      <c r="J409" s="177" t="s">
        <v>60</v>
      </c>
      <c r="K409" s="177" t="s">
        <v>54</v>
      </c>
      <c r="L409" s="178" t="s">
        <v>1043</v>
      </c>
      <c r="M409" s="238"/>
      <c r="N409" s="237"/>
      <c r="O409" s="146">
        <v>8</v>
      </c>
      <c r="P409" s="146">
        <v>9</v>
      </c>
      <c r="Q409" s="147">
        <v>3</v>
      </c>
      <c r="R409" s="148" t="s">
        <v>51</v>
      </c>
      <c r="S409" s="149" t="s">
        <v>505</v>
      </c>
      <c r="T409" s="150" t="s">
        <v>53</v>
      </c>
      <c r="U409" s="151">
        <f t="shared" ref="U409:U474" si="40">+I409</f>
        <v>7170513</v>
      </c>
      <c r="V409" s="152">
        <f t="shared" ref="V409:V474" si="41">+U409</f>
        <v>7170513</v>
      </c>
      <c r="W409" s="153" t="s">
        <v>54</v>
      </c>
      <c r="X409" s="153" t="s">
        <v>55</v>
      </c>
      <c r="Y409" s="154" t="s">
        <v>56</v>
      </c>
      <c r="Z409" s="155" t="s">
        <v>57</v>
      </c>
      <c r="AA409" s="156" t="s">
        <v>42</v>
      </c>
      <c r="AB409" s="157" t="s">
        <v>58</v>
      </c>
      <c r="AC409" s="158" t="s">
        <v>59</v>
      </c>
      <c r="AD409" s="153" t="s">
        <v>54</v>
      </c>
      <c r="AE409" s="153" t="s">
        <v>60</v>
      </c>
      <c r="AF409" s="159" t="s">
        <v>61</v>
      </c>
      <c r="AG409" s="159" t="s">
        <v>62</v>
      </c>
      <c r="AH409" s="159" t="s">
        <v>63</v>
      </c>
      <c r="AI409" s="159" t="s">
        <v>64</v>
      </c>
      <c r="AJ409" s="159" t="s">
        <v>64</v>
      </c>
      <c r="AK409" s="197" t="s">
        <v>64</v>
      </c>
    </row>
    <row r="410" spans="1:41" ht="84.75" customHeight="1" thickBot="1" x14ac:dyDescent="0.25">
      <c r="A410" s="1"/>
      <c r="B410" s="196" t="s">
        <v>42</v>
      </c>
      <c r="C410" s="143">
        <v>1320</v>
      </c>
      <c r="D410" s="143" t="s">
        <v>150</v>
      </c>
      <c r="E410" s="143" t="s">
        <v>44</v>
      </c>
      <c r="F410" s="175" t="s">
        <v>93</v>
      </c>
      <c r="G410" s="175" t="s">
        <v>94</v>
      </c>
      <c r="H410" s="175" t="s">
        <v>1042</v>
      </c>
      <c r="I410" s="176">
        <v>1559205</v>
      </c>
      <c r="J410" s="177" t="s">
        <v>60</v>
      </c>
      <c r="K410" s="177" t="s">
        <v>54</v>
      </c>
      <c r="L410" s="178" t="s">
        <v>1043</v>
      </c>
      <c r="M410" s="238"/>
      <c r="N410" s="237"/>
      <c r="O410" s="146">
        <v>8</v>
      </c>
      <c r="P410" s="146">
        <v>9</v>
      </c>
      <c r="Q410" s="147">
        <v>3</v>
      </c>
      <c r="R410" s="148" t="s">
        <v>51</v>
      </c>
      <c r="S410" s="149" t="s">
        <v>505</v>
      </c>
      <c r="T410" s="150" t="s">
        <v>53</v>
      </c>
      <c r="U410" s="151">
        <f t="shared" si="40"/>
        <v>1559205</v>
      </c>
      <c r="V410" s="152">
        <f t="shared" si="41"/>
        <v>1559205</v>
      </c>
      <c r="W410" s="153" t="s">
        <v>54</v>
      </c>
      <c r="X410" s="153" t="s">
        <v>55</v>
      </c>
      <c r="Y410" s="154" t="s">
        <v>56</v>
      </c>
      <c r="Z410" s="155" t="s">
        <v>57</v>
      </c>
      <c r="AA410" s="156" t="s">
        <v>42</v>
      </c>
      <c r="AB410" s="157" t="s">
        <v>58</v>
      </c>
      <c r="AC410" s="158" t="s">
        <v>59</v>
      </c>
      <c r="AD410" s="153" t="s">
        <v>54</v>
      </c>
      <c r="AE410" s="153" t="s">
        <v>60</v>
      </c>
      <c r="AF410" s="159" t="s">
        <v>61</v>
      </c>
      <c r="AG410" s="159" t="s">
        <v>62</v>
      </c>
      <c r="AH410" s="159" t="s">
        <v>63</v>
      </c>
      <c r="AI410" s="159" t="s">
        <v>64</v>
      </c>
      <c r="AJ410" s="159" t="s">
        <v>64</v>
      </c>
      <c r="AK410" s="197" t="s">
        <v>64</v>
      </c>
    </row>
    <row r="411" spans="1:41" ht="84.75" customHeight="1" thickBot="1" x14ac:dyDescent="0.25">
      <c r="A411" s="1"/>
      <c r="B411" s="196" t="s">
        <v>42</v>
      </c>
      <c r="C411" s="143">
        <v>1320</v>
      </c>
      <c r="D411" s="143" t="s">
        <v>150</v>
      </c>
      <c r="E411" s="143" t="s">
        <v>44</v>
      </c>
      <c r="F411" s="175" t="s">
        <v>114</v>
      </c>
      <c r="G411" s="175" t="s">
        <v>792</v>
      </c>
      <c r="H411" s="175" t="s">
        <v>1042</v>
      </c>
      <c r="I411" s="176">
        <v>2760709</v>
      </c>
      <c r="J411" s="177" t="s">
        <v>60</v>
      </c>
      <c r="K411" s="177" t="s">
        <v>54</v>
      </c>
      <c r="L411" s="178" t="s">
        <v>1043</v>
      </c>
      <c r="M411" s="238"/>
      <c r="N411" s="237"/>
      <c r="O411" s="146">
        <v>8</v>
      </c>
      <c r="P411" s="146">
        <v>9</v>
      </c>
      <c r="Q411" s="147">
        <v>3</v>
      </c>
      <c r="R411" s="148" t="s">
        <v>51</v>
      </c>
      <c r="S411" s="149" t="s">
        <v>505</v>
      </c>
      <c r="T411" s="150" t="s">
        <v>53</v>
      </c>
      <c r="U411" s="151">
        <f t="shared" si="40"/>
        <v>2760709</v>
      </c>
      <c r="V411" s="152">
        <f t="shared" si="41"/>
        <v>2760709</v>
      </c>
      <c r="W411" s="153" t="s">
        <v>54</v>
      </c>
      <c r="X411" s="153" t="s">
        <v>55</v>
      </c>
      <c r="Y411" s="154" t="s">
        <v>56</v>
      </c>
      <c r="Z411" s="155" t="s">
        <v>57</v>
      </c>
      <c r="AA411" s="156" t="s">
        <v>42</v>
      </c>
      <c r="AB411" s="157" t="s">
        <v>58</v>
      </c>
      <c r="AC411" s="158" t="s">
        <v>59</v>
      </c>
      <c r="AD411" s="153" t="s">
        <v>54</v>
      </c>
      <c r="AE411" s="153" t="s">
        <v>60</v>
      </c>
      <c r="AF411" s="159" t="s">
        <v>61</v>
      </c>
      <c r="AG411" s="159" t="s">
        <v>62</v>
      </c>
      <c r="AH411" s="159" t="s">
        <v>63</v>
      </c>
      <c r="AI411" s="159" t="s">
        <v>64</v>
      </c>
      <c r="AJ411" s="159" t="s">
        <v>64</v>
      </c>
      <c r="AK411" s="197" t="s">
        <v>64</v>
      </c>
    </row>
    <row r="412" spans="1:41" ht="84.75" customHeight="1" thickBot="1" x14ac:dyDescent="0.25">
      <c r="A412" s="1"/>
      <c r="B412" s="196" t="s">
        <v>42</v>
      </c>
      <c r="C412" s="143">
        <v>1320</v>
      </c>
      <c r="D412" s="143" t="s">
        <v>150</v>
      </c>
      <c r="E412" s="143" t="s">
        <v>44</v>
      </c>
      <c r="F412" s="175" t="s">
        <v>102</v>
      </c>
      <c r="G412" s="175" t="s">
        <v>103</v>
      </c>
      <c r="H412" s="175" t="s">
        <v>1050</v>
      </c>
      <c r="I412" s="176">
        <v>2998800</v>
      </c>
      <c r="J412" s="177" t="s">
        <v>60</v>
      </c>
      <c r="K412" s="177" t="s">
        <v>54</v>
      </c>
      <c r="L412" s="178" t="s">
        <v>1051</v>
      </c>
      <c r="M412" s="143" t="s">
        <v>1052</v>
      </c>
      <c r="N412" s="145" t="str">
        <f t="shared" ref="N412:N417" si="42">H412</f>
        <v>Suministrar mesas plegables para los diferentes eventos en instalaciones de la Universidad Pedagógica Naciona</v>
      </c>
      <c r="O412" s="146">
        <v>8</v>
      </c>
      <c r="P412" s="146">
        <v>9</v>
      </c>
      <c r="Q412" s="147">
        <v>3</v>
      </c>
      <c r="R412" s="148" t="s">
        <v>51</v>
      </c>
      <c r="S412" s="149" t="s">
        <v>505</v>
      </c>
      <c r="T412" s="150" t="s">
        <v>53</v>
      </c>
      <c r="U412" s="151">
        <f t="shared" si="40"/>
        <v>2998800</v>
      </c>
      <c r="V412" s="152">
        <f t="shared" si="41"/>
        <v>2998800</v>
      </c>
      <c r="W412" s="153" t="s">
        <v>54</v>
      </c>
      <c r="X412" s="153" t="s">
        <v>55</v>
      </c>
      <c r="Y412" s="154" t="s">
        <v>56</v>
      </c>
      <c r="Z412" s="155" t="s">
        <v>57</v>
      </c>
      <c r="AA412" s="156" t="s">
        <v>42</v>
      </c>
      <c r="AB412" s="157" t="s">
        <v>58</v>
      </c>
      <c r="AC412" s="158" t="s">
        <v>59</v>
      </c>
      <c r="AD412" s="153" t="s">
        <v>54</v>
      </c>
      <c r="AE412" s="153" t="s">
        <v>60</v>
      </c>
      <c r="AF412" s="159" t="s">
        <v>61</v>
      </c>
      <c r="AG412" s="159" t="s">
        <v>62</v>
      </c>
      <c r="AH412" s="159" t="s">
        <v>63</v>
      </c>
      <c r="AI412" s="159" t="s">
        <v>64</v>
      </c>
      <c r="AJ412" s="159" t="s">
        <v>64</v>
      </c>
      <c r="AK412" s="197" t="s">
        <v>64</v>
      </c>
    </row>
    <row r="413" spans="1:41" ht="84.75" customHeight="1" thickBot="1" x14ac:dyDescent="0.25">
      <c r="B413" s="196" t="s">
        <v>42</v>
      </c>
      <c r="C413" s="143">
        <v>1320</v>
      </c>
      <c r="D413" s="143" t="s">
        <v>150</v>
      </c>
      <c r="E413" s="143" t="s">
        <v>44</v>
      </c>
      <c r="F413" s="175" t="s">
        <v>120</v>
      </c>
      <c r="G413" s="175" t="s">
        <v>121</v>
      </c>
      <c r="H413" s="175" t="s">
        <v>1053</v>
      </c>
      <c r="I413" s="176">
        <v>13163616</v>
      </c>
      <c r="J413" s="177" t="s">
        <v>48</v>
      </c>
      <c r="K413" s="177" t="s">
        <v>54</v>
      </c>
      <c r="L413" s="178" t="s">
        <v>143</v>
      </c>
      <c r="M413" s="143">
        <v>84131500</v>
      </c>
      <c r="N413" s="145" t="str">
        <f t="shared" si="42"/>
        <v xml:space="preserve">Amparar el pago de las pólizas del convenio 314-2023 suscrito con ATENEA "Programa Jóvenes a la U" </v>
      </c>
      <c r="O413" s="146">
        <v>8</v>
      </c>
      <c r="P413" s="146">
        <v>9</v>
      </c>
      <c r="Q413" s="147">
        <v>3</v>
      </c>
      <c r="R413" s="148" t="s">
        <v>51</v>
      </c>
      <c r="S413" s="149" t="s">
        <v>505</v>
      </c>
      <c r="T413" s="150" t="s">
        <v>282</v>
      </c>
      <c r="U413" s="151">
        <f t="shared" si="40"/>
        <v>13163616</v>
      </c>
      <c r="V413" s="152">
        <f t="shared" si="41"/>
        <v>13163616</v>
      </c>
      <c r="W413" s="153" t="s">
        <v>54</v>
      </c>
      <c r="X413" s="153" t="s">
        <v>55</v>
      </c>
      <c r="Y413" s="154" t="s">
        <v>56</v>
      </c>
      <c r="Z413" s="155" t="s">
        <v>57</v>
      </c>
      <c r="AA413" s="156" t="s">
        <v>42</v>
      </c>
      <c r="AB413" s="157" t="s">
        <v>58</v>
      </c>
      <c r="AC413" s="158" t="s">
        <v>59</v>
      </c>
      <c r="AD413" s="153" t="s">
        <v>54</v>
      </c>
      <c r="AE413" s="153" t="s">
        <v>60</v>
      </c>
      <c r="AF413" s="159" t="s">
        <v>61</v>
      </c>
      <c r="AG413" s="159" t="s">
        <v>62</v>
      </c>
      <c r="AH413" s="159" t="s">
        <v>63</v>
      </c>
      <c r="AI413" s="159" t="s">
        <v>64</v>
      </c>
      <c r="AJ413" s="159" t="s">
        <v>64</v>
      </c>
      <c r="AK413" s="197" t="s">
        <v>64</v>
      </c>
    </row>
    <row r="414" spans="1:41" ht="84.75" customHeight="1" thickBot="1" x14ac:dyDescent="0.25">
      <c r="B414" s="196" t="s">
        <v>240</v>
      </c>
      <c r="C414" s="143">
        <v>1322</v>
      </c>
      <c r="D414" s="143" t="s">
        <v>554</v>
      </c>
      <c r="E414" s="143" t="s">
        <v>242</v>
      </c>
      <c r="F414" s="175" t="s">
        <v>120</v>
      </c>
      <c r="G414" s="175" t="s">
        <v>121</v>
      </c>
      <c r="H414" s="175" t="s">
        <v>1054</v>
      </c>
      <c r="I414" s="176">
        <v>10442250</v>
      </c>
      <c r="J414" s="177" t="s">
        <v>48</v>
      </c>
      <c r="K414" s="177" t="s">
        <v>48</v>
      </c>
      <c r="L414" s="178" t="s">
        <v>245</v>
      </c>
      <c r="M414" s="143" t="s">
        <v>50</v>
      </c>
      <c r="N414" s="145" t="str">
        <f t="shared" si="42"/>
        <v>Amparar la Inscripción de la participación en Expo Estudiante 2024</v>
      </c>
      <c r="O414" s="153">
        <v>8</v>
      </c>
      <c r="P414" s="146">
        <v>4</v>
      </c>
      <c r="Q414" s="147">
        <v>3</v>
      </c>
      <c r="R414" s="148" t="s">
        <v>51</v>
      </c>
      <c r="S414" s="149" t="s">
        <v>880</v>
      </c>
      <c r="T414" s="150" t="s">
        <v>53</v>
      </c>
      <c r="U414" s="151">
        <f t="shared" si="40"/>
        <v>10442250</v>
      </c>
      <c r="V414" s="152">
        <f t="shared" si="41"/>
        <v>10442250</v>
      </c>
      <c r="W414" s="153" t="s">
        <v>54</v>
      </c>
      <c r="X414" s="153" t="s">
        <v>55</v>
      </c>
      <c r="Y414" s="154" t="s">
        <v>56</v>
      </c>
      <c r="Z414" s="155" t="s">
        <v>57</v>
      </c>
      <c r="AA414" s="156" t="s">
        <v>240</v>
      </c>
      <c r="AB414" s="157" t="s">
        <v>58</v>
      </c>
      <c r="AC414" s="158" t="s">
        <v>59</v>
      </c>
      <c r="AD414" s="153" t="s">
        <v>54</v>
      </c>
      <c r="AE414" s="153" t="s">
        <v>60</v>
      </c>
      <c r="AF414" s="159" t="s">
        <v>61</v>
      </c>
      <c r="AG414" s="159" t="s">
        <v>62</v>
      </c>
      <c r="AH414" s="159" t="s">
        <v>63</v>
      </c>
      <c r="AI414" s="159" t="s">
        <v>64</v>
      </c>
      <c r="AJ414" s="159" t="s">
        <v>64</v>
      </c>
      <c r="AK414" s="197" t="s">
        <v>64</v>
      </c>
    </row>
    <row r="415" spans="1:41" ht="84.75" customHeight="1" thickBot="1" x14ac:dyDescent="0.25">
      <c r="B415" s="196" t="s">
        <v>42</v>
      </c>
      <c r="C415" s="143">
        <v>1470</v>
      </c>
      <c r="D415" s="143" t="s">
        <v>131</v>
      </c>
      <c r="E415" s="143" t="s">
        <v>132</v>
      </c>
      <c r="F415" s="175" t="s">
        <v>126</v>
      </c>
      <c r="G415" s="175" t="s">
        <v>127</v>
      </c>
      <c r="H415" s="175" t="s">
        <v>1055</v>
      </c>
      <c r="I415" s="176">
        <f>878600+17400</f>
        <v>896000</v>
      </c>
      <c r="J415" s="177" t="s">
        <v>575</v>
      </c>
      <c r="K415" s="177" t="s">
        <v>48</v>
      </c>
      <c r="L415" s="178" t="s">
        <v>1056</v>
      </c>
      <c r="M415" s="143" t="s">
        <v>920</v>
      </c>
      <c r="N415" s="145" t="str">
        <f t="shared" si="42"/>
        <v>Adición del Contrato de Prestación de Servicios N° 361 del 2024, cuyo objeto es: 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v>
      </c>
      <c r="O415" s="146">
        <v>9</v>
      </c>
      <c r="P415" s="146">
        <v>10</v>
      </c>
      <c r="Q415" s="147">
        <v>2</v>
      </c>
      <c r="R415" s="148" t="s">
        <v>51</v>
      </c>
      <c r="S415" s="149" t="s">
        <v>742</v>
      </c>
      <c r="T415" s="150" t="s">
        <v>53</v>
      </c>
      <c r="U415" s="151">
        <f t="shared" si="40"/>
        <v>896000</v>
      </c>
      <c r="V415" s="152">
        <f t="shared" si="41"/>
        <v>896000</v>
      </c>
      <c r="W415" s="153" t="s">
        <v>54</v>
      </c>
      <c r="X415" s="153" t="s">
        <v>55</v>
      </c>
      <c r="Y415" s="154" t="s">
        <v>56</v>
      </c>
      <c r="Z415" s="155" t="s">
        <v>57</v>
      </c>
      <c r="AA415" s="156" t="s">
        <v>42</v>
      </c>
      <c r="AB415" s="157" t="s">
        <v>58</v>
      </c>
      <c r="AC415" s="158" t="s">
        <v>59</v>
      </c>
      <c r="AD415" s="153" t="s">
        <v>54</v>
      </c>
      <c r="AE415" s="153" t="s">
        <v>60</v>
      </c>
      <c r="AF415" s="159" t="s">
        <v>61</v>
      </c>
      <c r="AG415" s="159" t="s">
        <v>62</v>
      </c>
      <c r="AH415" s="159" t="s">
        <v>63</v>
      </c>
      <c r="AI415" s="159" t="s">
        <v>64</v>
      </c>
      <c r="AJ415" s="159" t="s">
        <v>64</v>
      </c>
      <c r="AK415" s="197" t="s">
        <v>64</v>
      </c>
    </row>
    <row r="416" spans="1:41" ht="84.75" customHeight="1" thickBot="1" x14ac:dyDescent="0.25">
      <c r="A416" s="1"/>
      <c r="B416" s="196" t="s">
        <v>42</v>
      </c>
      <c r="C416" s="143">
        <v>1321</v>
      </c>
      <c r="D416" s="143" t="s">
        <v>140</v>
      </c>
      <c r="E416" s="143" t="s">
        <v>141</v>
      </c>
      <c r="F416" s="175" t="s">
        <v>123</v>
      </c>
      <c r="G416" s="175" t="s">
        <v>124</v>
      </c>
      <c r="H416" s="175" t="s">
        <v>1057</v>
      </c>
      <c r="I416" s="176">
        <v>7000000</v>
      </c>
      <c r="J416" s="177" t="s">
        <v>60</v>
      </c>
      <c r="K416" s="177" t="s">
        <v>48</v>
      </c>
      <c r="L416" s="178" t="s">
        <v>1058</v>
      </c>
      <c r="M416" s="143" t="s">
        <v>535</v>
      </c>
      <c r="N416" s="145" t="str">
        <f t="shared" si="42"/>
        <v>Prestar el servicio para ejecutar las podas del ciclo 1 autorizados para la instalación de Nogal en el Concepto Técnico 00081 de 2024 emitido por la SDA</v>
      </c>
      <c r="O416" s="146">
        <v>9</v>
      </c>
      <c r="P416" s="146">
        <v>10</v>
      </c>
      <c r="Q416" s="147">
        <v>2</v>
      </c>
      <c r="R416" s="148" t="s">
        <v>51</v>
      </c>
      <c r="S416" s="149" t="s">
        <v>536</v>
      </c>
      <c r="T416" s="150" t="s">
        <v>53</v>
      </c>
      <c r="U416" s="151">
        <f t="shared" si="40"/>
        <v>7000000</v>
      </c>
      <c r="V416" s="152">
        <f t="shared" si="41"/>
        <v>7000000</v>
      </c>
      <c r="W416" s="153" t="s">
        <v>54</v>
      </c>
      <c r="X416" s="153" t="s">
        <v>55</v>
      </c>
      <c r="Y416" s="154" t="s">
        <v>56</v>
      </c>
      <c r="Z416" s="155" t="s">
        <v>57</v>
      </c>
      <c r="AA416" s="156" t="s">
        <v>42</v>
      </c>
      <c r="AB416" s="157" t="s">
        <v>58</v>
      </c>
      <c r="AC416" s="158" t="s">
        <v>59</v>
      </c>
      <c r="AD416" s="153" t="s">
        <v>54</v>
      </c>
      <c r="AE416" s="153" t="s">
        <v>60</v>
      </c>
      <c r="AF416" s="159" t="s">
        <v>61</v>
      </c>
      <c r="AG416" s="159" t="s">
        <v>62</v>
      </c>
      <c r="AH416" s="159" t="s">
        <v>63</v>
      </c>
      <c r="AI416" s="159" t="s">
        <v>64</v>
      </c>
      <c r="AJ416" s="159" t="s">
        <v>64</v>
      </c>
      <c r="AK416" s="197" t="s">
        <v>64</v>
      </c>
    </row>
    <row r="417" spans="1:41" ht="84.75" customHeight="1" thickBot="1" x14ac:dyDescent="0.25">
      <c r="A417" s="1"/>
      <c r="B417" s="196" t="s">
        <v>42</v>
      </c>
      <c r="C417" s="143">
        <v>1470</v>
      </c>
      <c r="D417" s="143" t="s">
        <v>131</v>
      </c>
      <c r="E417" s="143" t="s">
        <v>132</v>
      </c>
      <c r="F417" s="175" t="s">
        <v>126</v>
      </c>
      <c r="G417" s="175" t="s">
        <v>127</v>
      </c>
      <c r="H417" s="175" t="s">
        <v>1059</v>
      </c>
      <c r="I417" s="176">
        <f>5000000+6000000</f>
        <v>11000000</v>
      </c>
      <c r="J417" s="177" t="s">
        <v>60</v>
      </c>
      <c r="K417" s="177" t="s">
        <v>48</v>
      </c>
      <c r="L417" s="178" t="s">
        <v>1060</v>
      </c>
      <c r="M417" s="143" t="s">
        <v>1061</v>
      </c>
      <c r="N417" s="145" t="str">
        <f t="shared" si="42"/>
        <v>Prestar los servicios especializados para la prevención del consumo de sustancias psicoactivas licitas e ilícitas en el marco del enfoque de prevención selectiva especifica.</v>
      </c>
      <c r="O417" s="146">
        <v>9</v>
      </c>
      <c r="P417" s="146">
        <v>10</v>
      </c>
      <c r="Q417" s="147">
        <v>2</v>
      </c>
      <c r="R417" s="148" t="s">
        <v>51</v>
      </c>
      <c r="S417" s="149" t="s">
        <v>742</v>
      </c>
      <c r="T417" s="150" t="s">
        <v>53</v>
      </c>
      <c r="U417" s="151">
        <f t="shared" si="40"/>
        <v>11000000</v>
      </c>
      <c r="V417" s="152">
        <f t="shared" si="41"/>
        <v>11000000</v>
      </c>
      <c r="W417" s="153" t="s">
        <v>54</v>
      </c>
      <c r="X417" s="153" t="s">
        <v>55</v>
      </c>
      <c r="Y417" s="154" t="s">
        <v>56</v>
      </c>
      <c r="Z417" s="155" t="s">
        <v>57</v>
      </c>
      <c r="AA417" s="156" t="s">
        <v>42</v>
      </c>
      <c r="AB417" s="157" t="s">
        <v>58</v>
      </c>
      <c r="AC417" s="158" t="s">
        <v>59</v>
      </c>
      <c r="AD417" s="153" t="s">
        <v>54</v>
      </c>
      <c r="AE417" s="153" t="s">
        <v>60</v>
      </c>
      <c r="AF417" s="159" t="s">
        <v>61</v>
      </c>
      <c r="AG417" s="159" t="s">
        <v>62</v>
      </c>
      <c r="AH417" s="159" t="s">
        <v>63</v>
      </c>
      <c r="AI417" s="159" t="s">
        <v>64</v>
      </c>
      <c r="AJ417" s="159" t="s">
        <v>64</v>
      </c>
      <c r="AK417" s="197" t="s">
        <v>64</v>
      </c>
    </row>
    <row r="418" spans="1:41" s="128" customFormat="1" ht="84.75" customHeight="1" thickBot="1" x14ac:dyDescent="0.25">
      <c r="A418" s="1"/>
      <c r="B418" s="196" t="s">
        <v>42</v>
      </c>
      <c r="C418" s="143">
        <v>1311</v>
      </c>
      <c r="D418" s="143" t="s">
        <v>283</v>
      </c>
      <c r="E418" s="143" t="s">
        <v>44</v>
      </c>
      <c r="F418" s="175" t="s">
        <v>120</v>
      </c>
      <c r="G418" s="175" t="s">
        <v>121</v>
      </c>
      <c r="H418" s="175" t="s">
        <v>1062</v>
      </c>
      <c r="I418" s="176">
        <v>357000000</v>
      </c>
      <c r="J418" s="177" t="s">
        <v>244</v>
      </c>
      <c r="K418" s="177" t="s">
        <v>48</v>
      </c>
      <c r="L418" s="178" t="s">
        <v>1063</v>
      </c>
      <c r="M418" s="143">
        <v>80131500</v>
      </c>
      <c r="N418" s="145" t="s">
        <v>1062</v>
      </c>
      <c r="O418" s="146">
        <v>8</v>
      </c>
      <c r="P418" s="146">
        <v>8</v>
      </c>
      <c r="Q418" s="147">
        <v>12</v>
      </c>
      <c r="R418" s="148" t="s">
        <v>51</v>
      </c>
      <c r="S418" s="149" t="s">
        <v>536</v>
      </c>
      <c r="T418" s="150" t="s">
        <v>145</v>
      </c>
      <c r="U418" s="151">
        <f t="shared" si="40"/>
        <v>357000000</v>
      </c>
      <c r="V418" s="152">
        <f t="shared" si="41"/>
        <v>357000000</v>
      </c>
      <c r="W418" s="153" t="s">
        <v>54</v>
      </c>
      <c r="X418" s="153" t="s">
        <v>55</v>
      </c>
      <c r="Y418" s="154" t="s">
        <v>56</v>
      </c>
      <c r="Z418" s="155" t="s">
        <v>57</v>
      </c>
      <c r="AA418" s="156" t="s">
        <v>42</v>
      </c>
      <c r="AB418" s="157" t="s">
        <v>58</v>
      </c>
      <c r="AC418" s="158" t="s">
        <v>59</v>
      </c>
      <c r="AD418" s="153" t="s">
        <v>54</v>
      </c>
      <c r="AE418" s="153" t="s">
        <v>60</v>
      </c>
      <c r="AF418" s="159" t="s">
        <v>61</v>
      </c>
      <c r="AG418" s="159" t="s">
        <v>62</v>
      </c>
      <c r="AH418" s="159" t="s">
        <v>63</v>
      </c>
      <c r="AI418" s="159" t="s">
        <v>64</v>
      </c>
      <c r="AJ418" s="159" t="s">
        <v>64</v>
      </c>
      <c r="AK418" s="197" t="s">
        <v>64</v>
      </c>
      <c r="AL418" s="29"/>
      <c r="AM418" s="29"/>
      <c r="AN418" s="29"/>
      <c r="AO418" s="29"/>
    </row>
    <row r="419" spans="1:41" ht="84.75" customHeight="1" thickBot="1" x14ac:dyDescent="0.25">
      <c r="A419" s="1"/>
      <c r="B419" s="196" t="s">
        <v>42</v>
      </c>
      <c r="C419" s="143">
        <v>1320</v>
      </c>
      <c r="D419" s="143" t="s">
        <v>150</v>
      </c>
      <c r="E419" s="143" t="s">
        <v>44</v>
      </c>
      <c r="F419" s="175" t="s">
        <v>430</v>
      </c>
      <c r="G419" s="175" t="s">
        <v>431</v>
      </c>
      <c r="H419" s="175" t="s">
        <v>1064</v>
      </c>
      <c r="I419" s="176">
        <v>20700000</v>
      </c>
      <c r="J419" s="177" t="s">
        <v>48</v>
      </c>
      <c r="K419" s="177" t="s">
        <v>48</v>
      </c>
      <c r="L419" s="178" t="s">
        <v>143</v>
      </c>
      <c r="M419" s="143" t="s">
        <v>50</v>
      </c>
      <c r="N419" s="145" t="str">
        <f t="shared" ref="N419:N425" si="43">H419</f>
        <v>Amparar el apoyo económico de dos estudiantes del grado 1001 pertenecientes al proyecto “La paz Joven”, al seminario internacional para educadores sobre pedagogía de la memoria y construcción de convivencia “Trazando puentes entre el pasado y el presente” que se llevará a cabo en Ámsterdam.</v>
      </c>
      <c r="O419" s="146">
        <v>9</v>
      </c>
      <c r="P419" s="146">
        <v>10</v>
      </c>
      <c r="Q419" s="147">
        <v>2</v>
      </c>
      <c r="R419" s="148" t="s">
        <v>51</v>
      </c>
      <c r="S419" s="149" t="s">
        <v>433</v>
      </c>
      <c r="T419" s="150" t="s">
        <v>282</v>
      </c>
      <c r="U419" s="151">
        <f t="shared" si="40"/>
        <v>20700000</v>
      </c>
      <c r="V419" s="152">
        <f t="shared" si="41"/>
        <v>20700000</v>
      </c>
      <c r="W419" s="153" t="s">
        <v>54</v>
      </c>
      <c r="X419" s="153" t="s">
        <v>55</v>
      </c>
      <c r="Y419" s="154" t="s">
        <v>56</v>
      </c>
      <c r="Z419" s="155" t="s">
        <v>57</v>
      </c>
      <c r="AA419" s="156" t="s">
        <v>42</v>
      </c>
      <c r="AB419" s="157" t="s">
        <v>58</v>
      </c>
      <c r="AC419" s="158" t="s">
        <v>59</v>
      </c>
      <c r="AD419" s="153" t="s">
        <v>54</v>
      </c>
      <c r="AE419" s="153" t="s">
        <v>60</v>
      </c>
      <c r="AF419" s="159" t="s">
        <v>61</v>
      </c>
      <c r="AG419" s="159" t="s">
        <v>62</v>
      </c>
      <c r="AH419" s="159" t="s">
        <v>63</v>
      </c>
      <c r="AI419" s="159" t="s">
        <v>64</v>
      </c>
      <c r="AJ419" s="159" t="s">
        <v>64</v>
      </c>
      <c r="AK419" s="197" t="s">
        <v>64</v>
      </c>
    </row>
    <row r="420" spans="1:41" s="128" customFormat="1" ht="84.75" customHeight="1" thickBot="1" x14ac:dyDescent="0.25">
      <c r="A420" s="1"/>
      <c r="B420" s="196" t="s">
        <v>42</v>
      </c>
      <c r="C420" s="143">
        <v>1320</v>
      </c>
      <c r="D420" s="143" t="s">
        <v>150</v>
      </c>
      <c r="E420" s="143" t="s">
        <v>44</v>
      </c>
      <c r="F420" s="175" t="s">
        <v>430</v>
      </c>
      <c r="G420" s="175" t="s">
        <v>431</v>
      </c>
      <c r="H420" s="175" t="s">
        <v>1224</v>
      </c>
      <c r="I420" s="176">
        <v>31818000</v>
      </c>
      <c r="J420" s="177" t="s">
        <v>48</v>
      </c>
      <c r="K420" s="177" t="s">
        <v>48</v>
      </c>
      <c r="L420" s="178" t="s">
        <v>143</v>
      </c>
      <c r="M420" s="143" t="s">
        <v>50</v>
      </c>
      <c r="N420" s="145" t="str">
        <f t="shared" si="43"/>
        <v>Amparar el apoyo económico a estudiantes del equipo de voleibol del IPN que participará en el torneo internacional municipio Alcarrizos República Dominicana</v>
      </c>
      <c r="O420" s="146">
        <v>9</v>
      </c>
      <c r="P420" s="146">
        <v>10</v>
      </c>
      <c r="Q420" s="147">
        <v>2</v>
      </c>
      <c r="R420" s="148" t="s">
        <v>51</v>
      </c>
      <c r="S420" s="149" t="s">
        <v>433</v>
      </c>
      <c r="T420" s="150" t="s">
        <v>282</v>
      </c>
      <c r="U420" s="151">
        <f t="shared" ref="U420" si="44">+I420</f>
        <v>31818000</v>
      </c>
      <c r="V420" s="152">
        <f t="shared" ref="V420" si="45">+U420</f>
        <v>31818000</v>
      </c>
      <c r="W420" s="153" t="s">
        <v>54</v>
      </c>
      <c r="X420" s="153" t="s">
        <v>55</v>
      </c>
      <c r="Y420" s="154" t="s">
        <v>56</v>
      </c>
      <c r="Z420" s="155" t="s">
        <v>57</v>
      </c>
      <c r="AA420" s="156" t="s">
        <v>42</v>
      </c>
      <c r="AB420" s="157" t="s">
        <v>58</v>
      </c>
      <c r="AC420" s="158" t="s">
        <v>59</v>
      </c>
      <c r="AD420" s="153" t="s">
        <v>54</v>
      </c>
      <c r="AE420" s="153" t="s">
        <v>60</v>
      </c>
      <c r="AF420" s="159" t="s">
        <v>61</v>
      </c>
      <c r="AG420" s="159" t="s">
        <v>62</v>
      </c>
      <c r="AH420" s="159" t="s">
        <v>63</v>
      </c>
      <c r="AI420" s="159" t="s">
        <v>64</v>
      </c>
      <c r="AJ420" s="159" t="s">
        <v>64</v>
      </c>
      <c r="AK420" s="197" t="s">
        <v>64</v>
      </c>
      <c r="AL420" s="29"/>
      <c r="AM420" s="29"/>
      <c r="AN420" s="29"/>
      <c r="AO420" s="29"/>
    </row>
    <row r="421" spans="1:41" s="128" customFormat="1" ht="84.75" customHeight="1" thickBot="1" x14ac:dyDescent="0.25">
      <c r="A421" s="1"/>
      <c r="B421" s="196" t="s">
        <v>42</v>
      </c>
      <c r="C421" s="143">
        <v>1320</v>
      </c>
      <c r="D421" s="143" t="s">
        <v>150</v>
      </c>
      <c r="E421" s="143" t="s">
        <v>44</v>
      </c>
      <c r="F421" s="175" t="s">
        <v>430</v>
      </c>
      <c r="G421" s="175" t="s">
        <v>431</v>
      </c>
      <c r="H421" s="175" t="s">
        <v>1225</v>
      </c>
      <c r="I421" s="176">
        <v>2380000</v>
      </c>
      <c r="J421" s="177" t="s">
        <v>48</v>
      </c>
      <c r="K421" s="177" t="s">
        <v>48</v>
      </c>
      <c r="L421" s="178" t="s">
        <v>143</v>
      </c>
      <c r="M421" s="143" t="s">
        <v>50</v>
      </c>
      <c r="N421" s="145" t="str">
        <f t="shared" si="43"/>
        <v>Amparar el pago del apoyo económico a los estudiantes de la Universidad Pedagógica Nacional que participarán en el Encuentro Internacional de Investigación en Educación Matemática.</v>
      </c>
      <c r="O421" s="146">
        <v>9</v>
      </c>
      <c r="P421" s="146">
        <v>10</v>
      </c>
      <c r="Q421" s="147">
        <v>2</v>
      </c>
      <c r="R421" s="148" t="s">
        <v>51</v>
      </c>
      <c r="S421" s="149" t="s">
        <v>433</v>
      </c>
      <c r="T421" s="150" t="s">
        <v>282</v>
      </c>
      <c r="U421" s="151">
        <f t="shared" ref="U421" si="46">+I421</f>
        <v>2380000</v>
      </c>
      <c r="V421" s="152">
        <f t="shared" ref="V421" si="47">+U421</f>
        <v>2380000</v>
      </c>
      <c r="W421" s="153" t="s">
        <v>54</v>
      </c>
      <c r="X421" s="153" t="s">
        <v>55</v>
      </c>
      <c r="Y421" s="154" t="s">
        <v>56</v>
      </c>
      <c r="Z421" s="155" t="s">
        <v>57</v>
      </c>
      <c r="AA421" s="156" t="s">
        <v>42</v>
      </c>
      <c r="AB421" s="157" t="s">
        <v>58</v>
      </c>
      <c r="AC421" s="158" t="s">
        <v>59</v>
      </c>
      <c r="AD421" s="153" t="s">
        <v>54</v>
      </c>
      <c r="AE421" s="153" t="s">
        <v>60</v>
      </c>
      <c r="AF421" s="159" t="s">
        <v>61</v>
      </c>
      <c r="AG421" s="159" t="s">
        <v>62</v>
      </c>
      <c r="AH421" s="159" t="s">
        <v>63</v>
      </c>
      <c r="AI421" s="159" t="s">
        <v>64</v>
      </c>
      <c r="AJ421" s="159" t="s">
        <v>64</v>
      </c>
      <c r="AK421" s="197" t="s">
        <v>64</v>
      </c>
      <c r="AL421" s="29"/>
      <c r="AM421" s="29"/>
      <c r="AN421" s="29"/>
      <c r="AO421" s="29"/>
    </row>
    <row r="422" spans="1:41" s="128" customFormat="1" ht="84.75" customHeight="1" thickBot="1" x14ac:dyDescent="0.25">
      <c r="A422" s="1"/>
      <c r="B422" s="196" t="s">
        <v>42</v>
      </c>
      <c r="C422" s="143">
        <v>1320</v>
      </c>
      <c r="D422" s="143" t="s">
        <v>150</v>
      </c>
      <c r="E422" s="143" t="s">
        <v>44</v>
      </c>
      <c r="F422" s="175" t="s">
        <v>430</v>
      </c>
      <c r="G422" s="175" t="s">
        <v>431</v>
      </c>
      <c r="H422" s="175" t="s">
        <v>1226</v>
      </c>
      <c r="I422" s="176">
        <v>4000000</v>
      </c>
      <c r="J422" s="177" t="s">
        <v>48</v>
      </c>
      <c r="K422" s="177" t="s">
        <v>48</v>
      </c>
      <c r="L422" s="178" t="s">
        <v>143</v>
      </c>
      <c r="M422" s="143" t="s">
        <v>50</v>
      </c>
      <c r="N422" s="145" t="str">
        <f t="shared" si="43"/>
        <v>Amparar el pago del apoyo económico para los estudiantes que van a participar en nombre de la Universidad Pedagógica Nacional en los Juegos Nacionales de ASCUN Eje Cafetero 2024.</v>
      </c>
      <c r="O422" s="146">
        <v>9</v>
      </c>
      <c r="P422" s="146">
        <v>10</v>
      </c>
      <c r="Q422" s="147">
        <v>2</v>
      </c>
      <c r="R422" s="148" t="s">
        <v>51</v>
      </c>
      <c r="S422" s="149" t="s">
        <v>433</v>
      </c>
      <c r="T422" s="150" t="s">
        <v>282</v>
      </c>
      <c r="U422" s="151">
        <f t="shared" ref="U422" si="48">+I422</f>
        <v>4000000</v>
      </c>
      <c r="V422" s="152">
        <f t="shared" ref="V422" si="49">+U422</f>
        <v>4000000</v>
      </c>
      <c r="W422" s="153" t="s">
        <v>54</v>
      </c>
      <c r="X422" s="153" t="s">
        <v>55</v>
      </c>
      <c r="Y422" s="154" t="s">
        <v>56</v>
      </c>
      <c r="Z422" s="155" t="s">
        <v>57</v>
      </c>
      <c r="AA422" s="156" t="s">
        <v>42</v>
      </c>
      <c r="AB422" s="157" t="s">
        <v>58</v>
      </c>
      <c r="AC422" s="158" t="s">
        <v>59</v>
      </c>
      <c r="AD422" s="153" t="s">
        <v>54</v>
      </c>
      <c r="AE422" s="153" t="s">
        <v>60</v>
      </c>
      <c r="AF422" s="159" t="s">
        <v>61</v>
      </c>
      <c r="AG422" s="159" t="s">
        <v>62</v>
      </c>
      <c r="AH422" s="159" t="s">
        <v>63</v>
      </c>
      <c r="AI422" s="159" t="s">
        <v>64</v>
      </c>
      <c r="AJ422" s="159" t="s">
        <v>64</v>
      </c>
      <c r="AK422" s="197" t="s">
        <v>64</v>
      </c>
      <c r="AL422" s="29"/>
      <c r="AM422" s="29"/>
      <c r="AN422" s="29"/>
      <c r="AO422" s="29"/>
    </row>
    <row r="423" spans="1:41" s="128" customFormat="1" ht="84.75" customHeight="1" thickBot="1" x14ac:dyDescent="0.25">
      <c r="A423" s="1"/>
      <c r="B423" s="196" t="s">
        <v>42</v>
      </c>
      <c r="C423" s="143">
        <v>1320</v>
      </c>
      <c r="D423" s="143" t="s">
        <v>150</v>
      </c>
      <c r="E423" s="143" t="s">
        <v>44</v>
      </c>
      <c r="F423" s="175" t="s">
        <v>430</v>
      </c>
      <c r="G423" s="175" t="s">
        <v>431</v>
      </c>
      <c r="H423" s="175" t="s">
        <v>1223</v>
      </c>
      <c r="I423" s="176">
        <v>10000000</v>
      </c>
      <c r="J423" s="177" t="s">
        <v>48</v>
      </c>
      <c r="K423" s="177" t="s">
        <v>48</v>
      </c>
      <c r="L423" s="178" t="s">
        <v>143</v>
      </c>
      <c r="M423" s="143" t="s">
        <v>50</v>
      </c>
      <c r="N423" s="145" t="str">
        <f t="shared" si="43"/>
        <v>Amparar el apoyo económico a los estudiantes integrantes de la orquesta y grupo de Jazz del IPN que participarán en el intercambio pedagógico, cultural y musical que se llevará a cabo en Guadalajara Buga los días 05 al 09 de agosto, en el marco de la celebración de los 281 años de vida institucional del Colegio Académico de Buga</v>
      </c>
      <c r="O423" s="146">
        <v>9</v>
      </c>
      <c r="P423" s="146">
        <v>10</v>
      </c>
      <c r="Q423" s="147">
        <v>2</v>
      </c>
      <c r="R423" s="148" t="s">
        <v>51</v>
      </c>
      <c r="S423" s="149" t="s">
        <v>433</v>
      </c>
      <c r="T423" s="150" t="s">
        <v>282</v>
      </c>
      <c r="U423" s="151">
        <f t="shared" ref="U423" si="50">+I423</f>
        <v>10000000</v>
      </c>
      <c r="V423" s="152">
        <f t="shared" ref="V423" si="51">+U423</f>
        <v>10000000</v>
      </c>
      <c r="W423" s="153" t="s">
        <v>54</v>
      </c>
      <c r="X423" s="153" t="s">
        <v>55</v>
      </c>
      <c r="Y423" s="154" t="s">
        <v>56</v>
      </c>
      <c r="Z423" s="155" t="s">
        <v>57</v>
      </c>
      <c r="AA423" s="156" t="s">
        <v>42</v>
      </c>
      <c r="AB423" s="157" t="s">
        <v>58</v>
      </c>
      <c r="AC423" s="158" t="s">
        <v>59</v>
      </c>
      <c r="AD423" s="153" t="s">
        <v>54</v>
      </c>
      <c r="AE423" s="153" t="s">
        <v>60</v>
      </c>
      <c r="AF423" s="159" t="s">
        <v>61</v>
      </c>
      <c r="AG423" s="159" t="s">
        <v>62</v>
      </c>
      <c r="AH423" s="159" t="s">
        <v>63</v>
      </c>
      <c r="AI423" s="159" t="s">
        <v>64</v>
      </c>
      <c r="AJ423" s="159" t="s">
        <v>64</v>
      </c>
      <c r="AK423" s="197" t="s">
        <v>64</v>
      </c>
      <c r="AL423" s="29"/>
      <c r="AM423" s="29"/>
      <c r="AN423" s="29"/>
      <c r="AO423" s="29"/>
    </row>
    <row r="424" spans="1:41" ht="84.75" customHeight="1" thickBot="1" x14ac:dyDescent="0.25">
      <c r="B424" s="196" t="s">
        <v>42</v>
      </c>
      <c r="C424" s="143">
        <v>1320</v>
      </c>
      <c r="D424" s="143" t="s">
        <v>150</v>
      </c>
      <c r="E424" s="143" t="s">
        <v>44</v>
      </c>
      <c r="F424" s="175" t="s">
        <v>430</v>
      </c>
      <c r="G424" s="175" t="s">
        <v>431</v>
      </c>
      <c r="H424" s="175" t="s">
        <v>1065</v>
      </c>
      <c r="I424" s="176">
        <v>3500000</v>
      </c>
      <c r="J424" s="177" t="s">
        <v>48</v>
      </c>
      <c r="K424" s="177" t="s">
        <v>48</v>
      </c>
      <c r="L424" s="178" t="s">
        <v>143</v>
      </c>
      <c r="M424" s="143" t="s">
        <v>50</v>
      </c>
      <c r="N424" s="145" t="str">
        <f t="shared" si="43"/>
        <v>Amparar el pago del apoyo económico a siete (7) estudiantes del Departamento de Psicopedagogía - Licenciatura en Educación Especial, quienes asistirán a la salida académica y realizarán su práctica pedagógica con los niños y niñas ciegos del programa de habilitación del Centro de Rehabilitación para Adultos Ciegos CRAC entre otras actividades a desarrollar en la ciudad de Barranquilla los días del 23 y 27 de septiembre de 2024.</v>
      </c>
      <c r="O424" s="146">
        <v>9</v>
      </c>
      <c r="P424" s="146">
        <v>10</v>
      </c>
      <c r="Q424" s="147">
        <v>2</v>
      </c>
      <c r="R424" s="148" t="s">
        <v>51</v>
      </c>
      <c r="S424" s="149" t="s">
        <v>433</v>
      </c>
      <c r="T424" s="150" t="s">
        <v>282</v>
      </c>
      <c r="U424" s="151">
        <f t="shared" si="40"/>
        <v>3500000</v>
      </c>
      <c r="V424" s="152">
        <f t="shared" si="41"/>
        <v>3500000</v>
      </c>
      <c r="W424" s="153" t="s">
        <v>54</v>
      </c>
      <c r="X424" s="153" t="s">
        <v>55</v>
      </c>
      <c r="Y424" s="154" t="s">
        <v>56</v>
      </c>
      <c r="Z424" s="155" t="s">
        <v>57</v>
      </c>
      <c r="AA424" s="156" t="s">
        <v>42</v>
      </c>
      <c r="AB424" s="157" t="s">
        <v>58</v>
      </c>
      <c r="AC424" s="158" t="s">
        <v>59</v>
      </c>
      <c r="AD424" s="153" t="s">
        <v>54</v>
      </c>
      <c r="AE424" s="153" t="s">
        <v>60</v>
      </c>
      <c r="AF424" s="159" t="s">
        <v>61</v>
      </c>
      <c r="AG424" s="159" t="s">
        <v>62</v>
      </c>
      <c r="AH424" s="159" t="s">
        <v>63</v>
      </c>
      <c r="AI424" s="159" t="s">
        <v>64</v>
      </c>
      <c r="AJ424" s="159" t="s">
        <v>64</v>
      </c>
      <c r="AK424" s="197" t="s">
        <v>64</v>
      </c>
    </row>
    <row r="425" spans="1:41" ht="84.75" customHeight="1" thickBot="1" x14ac:dyDescent="0.25">
      <c r="A425" s="1"/>
      <c r="B425" s="196" t="s">
        <v>42</v>
      </c>
      <c r="C425" s="143">
        <v>1640</v>
      </c>
      <c r="D425" s="143" t="s">
        <v>829</v>
      </c>
      <c r="E425" s="143" t="s">
        <v>830</v>
      </c>
      <c r="F425" s="175" t="s">
        <v>102</v>
      </c>
      <c r="G425" s="175" t="s">
        <v>103</v>
      </c>
      <c r="H425" s="175" t="s">
        <v>1066</v>
      </c>
      <c r="I425" s="176">
        <v>6100000</v>
      </c>
      <c r="J425" s="177" t="s">
        <v>60</v>
      </c>
      <c r="K425" s="177" t="s">
        <v>48</v>
      </c>
      <c r="L425" s="178" t="s">
        <v>1067</v>
      </c>
      <c r="M425" s="143">
        <v>56101500</v>
      </c>
      <c r="N425" s="237" t="str">
        <f t="shared" si="43"/>
        <v xml:space="preserve">Adquirir comedores para la SEI y mesas para la sala infantil de la biblioteca del IPN </v>
      </c>
      <c r="O425" s="146">
        <v>9</v>
      </c>
      <c r="P425" s="146">
        <v>10</v>
      </c>
      <c r="Q425" s="147">
        <v>2</v>
      </c>
      <c r="R425" s="148" t="s">
        <v>51</v>
      </c>
      <c r="S425" s="149" t="s">
        <v>840</v>
      </c>
      <c r="T425" s="150" t="s">
        <v>282</v>
      </c>
      <c r="U425" s="151">
        <f t="shared" si="40"/>
        <v>6100000</v>
      </c>
      <c r="V425" s="152">
        <f t="shared" si="41"/>
        <v>6100000</v>
      </c>
      <c r="W425" s="153" t="s">
        <v>54</v>
      </c>
      <c r="X425" s="153" t="s">
        <v>55</v>
      </c>
      <c r="Y425" s="154" t="s">
        <v>56</v>
      </c>
      <c r="Z425" s="155" t="s">
        <v>57</v>
      </c>
      <c r="AA425" s="156" t="s">
        <v>42</v>
      </c>
      <c r="AB425" s="157" t="s">
        <v>58</v>
      </c>
      <c r="AC425" s="158" t="s">
        <v>59</v>
      </c>
      <c r="AD425" s="153" t="s">
        <v>54</v>
      </c>
      <c r="AE425" s="153" t="s">
        <v>60</v>
      </c>
      <c r="AF425" s="159" t="s">
        <v>61</v>
      </c>
      <c r="AG425" s="159" t="s">
        <v>62</v>
      </c>
      <c r="AH425" s="159" t="s">
        <v>63</v>
      </c>
      <c r="AI425" s="159" t="s">
        <v>64</v>
      </c>
      <c r="AJ425" s="159" t="s">
        <v>64</v>
      </c>
      <c r="AK425" s="197" t="s">
        <v>64</v>
      </c>
    </row>
    <row r="426" spans="1:41" ht="84.75" customHeight="1" thickBot="1" x14ac:dyDescent="0.25">
      <c r="A426" s="1"/>
      <c r="B426" s="196" t="s">
        <v>42</v>
      </c>
      <c r="C426" s="143">
        <v>1640</v>
      </c>
      <c r="D426" s="143" t="s">
        <v>829</v>
      </c>
      <c r="E426" s="143" t="s">
        <v>830</v>
      </c>
      <c r="F426" s="175" t="s">
        <v>96</v>
      </c>
      <c r="G426" s="175" t="s">
        <v>1068</v>
      </c>
      <c r="H426" s="175" t="s">
        <v>1066</v>
      </c>
      <c r="I426" s="176">
        <v>1000000</v>
      </c>
      <c r="J426" s="177" t="s">
        <v>60</v>
      </c>
      <c r="K426" s="177" t="s">
        <v>48</v>
      </c>
      <c r="L426" s="178" t="s">
        <v>1067</v>
      </c>
      <c r="M426" s="143" t="s">
        <v>1069</v>
      </c>
      <c r="N426" s="237"/>
      <c r="O426" s="146">
        <v>9</v>
      </c>
      <c r="P426" s="146">
        <v>10</v>
      </c>
      <c r="Q426" s="147">
        <v>2</v>
      </c>
      <c r="R426" s="148" t="s">
        <v>51</v>
      </c>
      <c r="S426" s="149" t="s">
        <v>840</v>
      </c>
      <c r="T426" s="150" t="s">
        <v>282</v>
      </c>
      <c r="U426" s="151">
        <f t="shared" si="40"/>
        <v>1000000</v>
      </c>
      <c r="V426" s="152">
        <f t="shared" si="41"/>
        <v>1000000</v>
      </c>
      <c r="W426" s="153" t="s">
        <v>54</v>
      </c>
      <c r="X426" s="153" t="s">
        <v>55</v>
      </c>
      <c r="Y426" s="154" t="s">
        <v>56</v>
      </c>
      <c r="Z426" s="155" t="s">
        <v>57</v>
      </c>
      <c r="AA426" s="156" t="s">
        <v>42</v>
      </c>
      <c r="AB426" s="157" t="s">
        <v>58</v>
      </c>
      <c r="AC426" s="158" t="s">
        <v>59</v>
      </c>
      <c r="AD426" s="153" t="s">
        <v>54</v>
      </c>
      <c r="AE426" s="153" t="s">
        <v>60</v>
      </c>
      <c r="AF426" s="159" t="s">
        <v>61</v>
      </c>
      <c r="AG426" s="159" t="s">
        <v>62</v>
      </c>
      <c r="AH426" s="159" t="s">
        <v>63</v>
      </c>
      <c r="AI426" s="159" t="s">
        <v>64</v>
      </c>
      <c r="AJ426" s="159" t="s">
        <v>64</v>
      </c>
      <c r="AK426" s="197" t="s">
        <v>64</v>
      </c>
    </row>
    <row r="427" spans="1:41" ht="84.75" customHeight="1" thickBot="1" x14ac:dyDescent="0.25">
      <c r="A427" s="1"/>
      <c r="B427" s="196" t="s">
        <v>42</v>
      </c>
      <c r="C427" s="143">
        <v>1640</v>
      </c>
      <c r="D427" s="143" t="s">
        <v>829</v>
      </c>
      <c r="E427" s="143" t="s">
        <v>830</v>
      </c>
      <c r="F427" s="175" t="s">
        <v>128</v>
      </c>
      <c r="G427" s="175" t="s">
        <v>129</v>
      </c>
      <c r="H427" s="175" t="s">
        <v>1070</v>
      </c>
      <c r="I427" s="176">
        <v>1800000</v>
      </c>
      <c r="J427" s="177" t="s">
        <v>60</v>
      </c>
      <c r="K427" s="177" t="s">
        <v>48</v>
      </c>
      <c r="L427" s="178" t="s">
        <v>1071</v>
      </c>
      <c r="M427" s="143">
        <v>55121715</v>
      </c>
      <c r="N427" s="145" t="str">
        <f>H427</f>
        <v xml:space="preserve">Adquirir Banderas para los eventos del IPN </v>
      </c>
      <c r="O427" s="146">
        <v>9</v>
      </c>
      <c r="P427" s="146">
        <v>10</v>
      </c>
      <c r="Q427" s="147">
        <v>2</v>
      </c>
      <c r="R427" s="148" t="s">
        <v>51</v>
      </c>
      <c r="S427" s="149" t="s">
        <v>840</v>
      </c>
      <c r="T427" s="150" t="s">
        <v>282</v>
      </c>
      <c r="U427" s="151">
        <f t="shared" si="40"/>
        <v>1800000</v>
      </c>
      <c r="V427" s="152">
        <f t="shared" si="41"/>
        <v>1800000</v>
      </c>
      <c r="W427" s="153" t="s">
        <v>54</v>
      </c>
      <c r="X427" s="153" t="s">
        <v>55</v>
      </c>
      <c r="Y427" s="154" t="s">
        <v>56</v>
      </c>
      <c r="Z427" s="155" t="s">
        <v>57</v>
      </c>
      <c r="AA427" s="156" t="s">
        <v>42</v>
      </c>
      <c r="AB427" s="157" t="s">
        <v>58</v>
      </c>
      <c r="AC427" s="158" t="s">
        <v>59</v>
      </c>
      <c r="AD427" s="153" t="s">
        <v>54</v>
      </c>
      <c r="AE427" s="153" t="s">
        <v>60</v>
      </c>
      <c r="AF427" s="159" t="s">
        <v>61</v>
      </c>
      <c r="AG427" s="159" t="s">
        <v>62</v>
      </c>
      <c r="AH427" s="159" t="s">
        <v>63</v>
      </c>
      <c r="AI427" s="159" t="s">
        <v>64</v>
      </c>
      <c r="AJ427" s="159" t="s">
        <v>64</v>
      </c>
      <c r="AK427" s="197" t="s">
        <v>64</v>
      </c>
    </row>
    <row r="428" spans="1:41" ht="84.75" customHeight="1" thickBot="1" x14ac:dyDescent="0.25">
      <c r="A428" s="1"/>
      <c r="B428" s="196" t="s">
        <v>42</v>
      </c>
      <c r="C428" s="143">
        <v>1640</v>
      </c>
      <c r="D428" s="143" t="s">
        <v>829</v>
      </c>
      <c r="E428" s="143" t="s">
        <v>830</v>
      </c>
      <c r="F428" s="175" t="s">
        <v>123</v>
      </c>
      <c r="G428" s="175" t="s">
        <v>124</v>
      </c>
      <c r="H428" s="175" t="s">
        <v>1072</v>
      </c>
      <c r="I428" s="176">
        <v>1450000</v>
      </c>
      <c r="J428" s="177" t="s">
        <v>60</v>
      </c>
      <c r="K428" s="177" t="s">
        <v>48</v>
      </c>
      <c r="L428" s="178" t="s">
        <v>1073</v>
      </c>
      <c r="M428" s="143" t="s">
        <v>1074</v>
      </c>
      <c r="N428" s="145" t="str">
        <f>H428</f>
        <v xml:space="preserve">Mantenimiento piscina de pelotas de SEI </v>
      </c>
      <c r="O428" s="146">
        <v>9</v>
      </c>
      <c r="P428" s="146">
        <v>10</v>
      </c>
      <c r="Q428" s="147">
        <v>2</v>
      </c>
      <c r="R428" s="148" t="s">
        <v>51</v>
      </c>
      <c r="S428" s="149" t="s">
        <v>840</v>
      </c>
      <c r="T428" s="150" t="s">
        <v>282</v>
      </c>
      <c r="U428" s="151">
        <f t="shared" si="40"/>
        <v>1450000</v>
      </c>
      <c r="V428" s="152">
        <f t="shared" si="41"/>
        <v>1450000</v>
      </c>
      <c r="W428" s="153" t="s">
        <v>54</v>
      </c>
      <c r="X428" s="153" t="s">
        <v>55</v>
      </c>
      <c r="Y428" s="154" t="s">
        <v>56</v>
      </c>
      <c r="Z428" s="155" t="s">
        <v>57</v>
      </c>
      <c r="AA428" s="156" t="s">
        <v>42</v>
      </c>
      <c r="AB428" s="157" t="s">
        <v>58</v>
      </c>
      <c r="AC428" s="158" t="s">
        <v>59</v>
      </c>
      <c r="AD428" s="153" t="s">
        <v>54</v>
      </c>
      <c r="AE428" s="153" t="s">
        <v>60</v>
      </c>
      <c r="AF428" s="159" t="s">
        <v>61</v>
      </c>
      <c r="AG428" s="159" t="s">
        <v>62</v>
      </c>
      <c r="AH428" s="159" t="s">
        <v>63</v>
      </c>
      <c r="AI428" s="159" t="s">
        <v>64</v>
      </c>
      <c r="AJ428" s="159" t="s">
        <v>64</v>
      </c>
      <c r="AK428" s="197" t="s">
        <v>64</v>
      </c>
    </row>
    <row r="429" spans="1:41" ht="84.75" customHeight="1" thickBot="1" x14ac:dyDescent="0.25">
      <c r="A429" s="1"/>
      <c r="B429" s="196" t="s">
        <v>42</v>
      </c>
      <c r="C429" s="143">
        <v>1640</v>
      </c>
      <c r="D429" s="143" t="s">
        <v>829</v>
      </c>
      <c r="E429" s="143" t="s">
        <v>830</v>
      </c>
      <c r="F429" s="175" t="s">
        <v>123</v>
      </c>
      <c r="G429" s="175" t="s">
        <v>124</v>
      </c>
      <c r="H429" s="175" t="s">
        <v>1075</v>
      </c>
      <c r="I429" s="176">
        <v>4000000</v>
      </c>
      <c r="J429" s="177" t="s">
        <v>60</v>
      </c>
      <c r="K429" s="177" t="s">
        <v>48</v>
      </c>
      <c r="L429" s="178" t="s">
        <v>1076</v>
      </c>
      <c r="M429" s="145">
        <v>60131200</v>
      </c>
      <c r="N429" s="145" t="str">
        <f>H429</f>
        <v xml:space="preserve">Mantenimiento instrumentos de viento del IPN </v>
      </c>
      <c r="O429" s="146">
        <v>9</v>
      </c>
      <c r="P429" s="146">
        <v>10</v>
      </c>
      <c r="Q429" s="147">
        <v>2</v>
      </c>
      <c r="R429" s="148" t="s">
        <v>51</v>
      </c>
      <c r="S429" s="149" t="s">
        <v>840</v>
      </c>
      <c r="T429" s="150" t="s">
        <v>282</v>
      </c>
      <c r="U429" s="151">
        <f t="shared" si="40"/>
        <v>4000000</v>
      </c>
      <c r="V429" s="152">
        <f t="shared" si="41"/>
        <v>4000000</v>
      </c>
      <c r="W429" s="153" t="s">
        <v>54</v>
      </c>
      <c r="X429" s="153" t="s">
        <v>55</v>
      </c>
      <c r="Y429" s="154" t="s">
        <v>56</v>
      </c>
      <c r="Z429" s="155" t="s">
        <v>57</v>
      </c>
      <c r="AA429" s="156" t="s">
        <v>42</v>
      </c>
      <c r="AB429" s="157" t="s">
        <v>58</v>
      </c>
      <c r="AC429" s="158" t="s">
        <v>59</v>
      </c>
      <c r="AD429" s="153" t="s">
        <v>54</v>
      </c>
      <c r="AE429" s="153" t="s">
        <v>60</v>
      </c>
      <c r="AF429" s="159" t="s">
        <v>61</v>
      </c>
      <c r="AG429" s="159" t="s">
        <v>62</v>
      </c>
      <c r="AH429" s="159" t="s">
        <v>63</v>
      </c>
      <c r="AI429" s="159" t="s">
        <v>64</v>
      </c>
      <c r="AJ429" s="159" t="s">
        <v>64</v>
      </c>
      <c r="AK429" s="197" t="s">
        <v>64</v>
      </c>
    </row>
    <row r="430" spans="1:41" ht="84.75" customHeight="1" thickBot="1" x14ac:dyDescent="0.25">
      <c r="A430" s="1"/>
      <c r="B430" s="196" t="s">
        <v>42</v>
      </c>
      <c r="C430" s="143">
        <v>1640</v>
      </c>
      <c r="D430" s="143" t="s">
        <v>829</v>
      </c>
      <c r="E430" s="143" t="s">
        <v>830</v>
      </c>
      <c r="F430" s="175" t="s">
        <v>725</v>
      </c>
      <c r="G430" s="175" t="s">
        <v>1077</v>
      </c>
      <c r="H430" s="175" t="s">
        <v>1078</v>
      </c>
      <c r="I430" s="176">
        <v>1500000</v>
      </c>
      <c r="J430" s="177" t="s">
        <v>60</v>
      </c>
      <c r="K430" s="177" t="s">
        <v>48</v>
      </c>
      <c r="L430" s="178" t="s">
        <v>1079</v>
      </c>
      <c r="M430" s="145">
        <v>60131300</v>
      </c>
      <c r="N430" s="145" t="str">
        <f>H430</f>
        <v>Compra de accesorios para instrumentos de cuerda</v>
      </c>
      <c r="O430" s="146">
        <v>9</v>
      </c>
      <c r="P430" s="146">
        <v>10</v>
      </c>
      <c r="Q430" s="147">
        <v>2</v>
      </c>
      <c r="R430" s="148" t="s">
        <v>51</v>
      </c>
      <c r="S430" s="149" t="s">
        <v>840</v>
      </c>
      <c r="T430" s="150" t="s">
        <v>282</v>
      </c>
      <c r="U430" s="151">
        <f t="shared" si="40"/>
        <v>1500000</v>
      </c>
      <c r="V430" s="152">
        <f t="shared" si="41"/>
        <v>1500000</v>
      </c>
      <c r="W430" s="153" t="s">
        <v>54</v>
      </c>
      <c r="X430" s="153" t="s">
        <v>55</v>
      </c>
      <c r="Y430" s="154" t="s">
        <v>56</v>
      </c>
      <c r="Z430" s="155" t="s">
        <v>57</v>
      </c>
      <c r="AA430" s="156" t="s">
        <v>42</v>
      </c>
      <c r="AB430" s="157" t="s">
        <v>58</v>
      </c>
      <c r="AC430" s="158" t="s">
        <v>59</v>
      </c>
      <c r="AD430" s="153" t="s">
        <v>54</v>
      </c>
      <c r="AE430" s="153" t="s">
        <v>60</v>
      </c>
      <c r="AF430" s="159" t="s">
        <v>61</v>
      </c>
      <c r="AG430" s="159" t="s">
        <v>62</v>
      </c>
      <c r="AH430" s="159" t="s">
        <v>63</v>
      </c>
      <c r="AI430" s="159" t="s">
        <v>64</v>
      </c>
      <c r="AJ430" s="159" t="s">
        <v>64</v>
      </c>
      <c r="AK430" s="197" t="s">
        <v>64</v>
      </c>
    </row>
    <row r="431" spans="1:41" ht="84.75" customHeight="1" thickBot="1" x14ac:dyDescent="0.25">
      <c r="A431" s="1"/>
      <c r="B431" s="196" t="s">
        <v>42</v>
      </c>
      <c r="C431" s="143">
        <v>1640</v>
      </c>
      <c r="D431" s="143" t="s">
        <v>829</v>
      </c>
      <c r="E431" s="143" t="s">
        <v>830</v>
      </c>
      <c r="F431" s="175" t="s">
        <v>111</v>
      </c>
      <c r="G431" s="175" t="s">
        <v>112</v>
      </c>
      <c r="H431" s="175" t="s">
        <v>1080</v>
      </c>
      <c r="I431" s="176">
        <v>8000000</v>
      </c>
      <c r="J431" s="177" t="s">
        <v>60</v>
      </c>
      <c r="K431" s="177" t="s">
        <v>48</v>
      </c>
      <c r="L431" s="178" t="s">
        <v>1081</v>
      </c>
      <c r="M431" s="143" t="s">
        <v>1082</v>
      </c>
      <c r="N431" s="145" t="s">
        <v>1083</v>
      </c>
      <c r="O431" s="146">
        <v>9</v>
      </c>
      <c r="P431" s="146">
        <v>10</v>
      </c>
      <c r="Q431" s="147">
        <v>2</v>
      </c>
      <c r="R431" s="148" t="s">
        <v>51</v>
      </c>
      <c r="S431" s="149" t="s">
        <v>840</v>
      </c>
      <c r="T431" s="150" t="s">
        <v>282</v>
      </c>
      <c r="U431" s="151">
        <f t="shared" si="40"/>
        <v>8000000</v>
      </c>
      <c r="V431" s="152">
        <f t="shared" si="41"/>
        <v>8000000</v>
      </c>
      <c r="W431" s="153" t="s">
        <v>54</v>
      </c>
      <c r="X431" s="153" t="s">
        <v>55</v>
      </c>
      <c r="Y431" s="154" t="s">
        <v>56</v>
      </c>
      <c r="Z431" s="155" t="s">
        <v>57</v>
      </c>
      <c r="AA431" s="156" t="s">
        <v>42</v>
      </c>
      <c r="AB431" s="157" t="s">
        <v>58</v>
      </c>
      <c r="AC431" s="158" t="s">
        <v>59</v>
      </c>
      <c r="AD431" s="153" t="s">
        <v>54</v>
      </c>
      <c r="AE431" s="153" t="s">
        <v>60</v>
      </c>
      <c r="AF431" s="159" t="s">
        <v>61</v>
      </c>
      <c r="AG431" s="159" t="s">
        <v>62</v>
      </c>
      <c r="AH431" s="159" t="s">
        <v>63</v>
      </c>
      <c r="AI431" s="159" t="s">
        <v>64</v>
      </c>
      <c r="AJ431" s="159" t="s">
        <v>64</v>
      </c>
      <c r="AK431" s="197" t="s">
        <v>64</v>
      </c>
    </row>
    <row r="432" spans="1:41" ht="84.75" customHeight="1" thickBot="1" x14ac:dyDescent="0.25">
      <c r="A432" s="1"/>
      <c r="B432" s="196" t="s">
        <v>42</v>
      </c>
      <c r="C432" s="143">
        <v>1640</v>
      </c>
      <c r="D432" s="143" t="s">
        <v>829</v>
      </c>
      <c r="E432" s="143" t="s">
        <v>830</v>
      </c>
      <c r="F432" s="175" t="s">
        <v>111</v>
      </c>
      <c r="G432" s="175" t="s">
        <v>112</v>
      </c>
      <c r="H432" s="175" t="s">
        <v>1084</v>
      </c>
      <c r="I432" s="176">
        <v>4800000</v>
      </c>
      <c r="J432" s="177" t="s">
        <v>60</v>
      </c>
      <c r="K432" s="177" t="s">
        <v>48</v>
      </c>
      <c r="L432" s="178" t="s">
        <v>1085</v>
      </c>
      <c r="M432" s="145">
        <v>60141000</v>
      </c>
      <c r="N432" s="145" t="str">
        <f t="shared" ref="N432:N439" si="52">H432</f>
        <v xml:space="preserve">Adquisición de material didáctico elementos de juego para los niños de la SEI </v>
      </c>
      <c r="O432" s="146">
        <v>9</v>
      </c>
      <c r="P432" s="146">
        <v>10</v>
      </c>
      <c r="Q432" s="147">
        <v>2</v>
      </c>
      <c r="R432" s="148" t="s">
        <v>51</v>
      </c>
      <c r="S432" s="149" t="s">
        <v>840</v>
      </c>
      <c r="T432" s="150" t="s">
        <v>282</v>
      </c>
      <c r="U432" s="151">
        <f t="shared" si="40"/>
        <v>4800000</v>
      </c>
      <c r="V432" s="152">
        <f t="shared" si="41"/>
        <v>4800000</v>
      </c>
      <c r="W432" s="153" t="s">
        <v>54</v>
      </c>
      <c r="X432" s="153" t="s">
        <v>55</v>
      </c>
      <c r="Y432" s="154" t="s">
        <v>56</v>
      </c>
      <c r="Z432" s="155" t="s">
        <v>57</v>
      </c>
      <c r="AA432" s="156" t="s">
        <v>42</v>
      </c>
      <c r="AB432" s="157" t="s">
        <v>58</v>
      </c>
      <c r="AC432" s="158" t="s">
        <v>59</v>
      </c>
      <c r="AD432" s="153" t="s">
        <v>54</v>
      </c>
      <c r="AE432" s="153" t="s">
        <v>60</v>
      </c>
      <c r="AF432" s="159" t="s">
        <v>61</v>
      </c>
      <c r="AG432" s="159" t="s">
        <v>62</v>
      </c>
      <c r="AH432" s="159" t="s">
        <v>63</v>
      </c>
      <c r="AI432" s="159" t="s">
        <v>64</v>
      </c>
      <c r="AJ432" s="159" t="s">
        <v>64</v>
      </c>
      <c r="AK432" s="197" t="s">
        <v>64</v>
      </c>
    </row>
    <row r="433" spans="1:41" s="8" customFormat="1" ht="84.75" customHeight="1" thickBot="1" x14ac:dyDescent="0.25">
      <c r="A433" s="1"/>
      <c r="B433" s="196" t="s">
        <v>42</v>
      </c>
      <c r="C433" s="143">
        <v>1325</v>
      </c>
      <c r="D433" s="143" t="s">
        <v>155</v>
      </c>
      <c r="E433" s="143" t="s">
        <v>156</v>
      </c>
      <c r="F433" s="175" t="s">
        <v>123</v>
      </c>
      <c r="G433" s="175" t="s">
        <v>124</v>
      </c>
      <c r="H433" s="175" t="s">
        <v>1086</v>
      </c>
      <c r="I433" s="176">
        <f>169143510+32137267</f>
        <v>201280777</v>
      </c>
      <c r="J433" s="177" t="s">
        <v>60</v>
      </c>
      <c r="K433" s="177" t="s">
        <v>48</v>
      </c>
      <c r="L433" s="178" t="s">
        <v>1087</v>
      </c>
      <c r="M433" s="143" t="s">
        <v>1088</v>
      </c>
      <c r="N433" s="161" t="str">
        <f t="shared" si="52"/>
        <v xml:space="preserve"> Actualizar el sistema de Recursos Humanos de la Universidad Pedagógica Nacional sistema de nómina Queryx 7 a la última versión HCM en la modalidad on premise.</v>
      </c>
      <c r="O433" s="146">
        <v>9</v>
      </c>
      <c r="P433" s="146">
        <v>10</v>
      </c>
      <c r="Q433" s="147">
        <v>2</v>
      </c>
      <c r="R433" s="148" t="s">
        <v>51</v>
      </c>
      <c r="S433" s="149" t="s">
        <v>286</v>
      </c>
      <c r="T433" s="150" t="s">
        <v>53</v>
      </c>
      <c r="U433" s="151">
        <f t="shared" si="40"/>
        <v>201280777</v>
      </c>
      <c r="V433" s="152">
        <f t="shared" si="41"/>
        <v>201280777</v>
      </c>
      <c r="W433" s="153" t="s">
        <v>54</v>
      </c>
      <c r="X433" s="153" t="s">
        <v>55</v>
      </c>
      <c r="Y433" s="154" t="s">
        <v>56</v>
      </c>
      <c r="Z433" s="155" t="s">
        <v>57</v>
      </c>
      <c r="AA433" s="156" t="s">
        <v>42</v>
      </c>
      <c r="AB433" s="157" t="s">
        <v>58</v>
      </c>
      <c r="AC433" s="158" t="s">
        <v>59</v>
      </c>
      <c r="AD433" s="153" t="s">
        <v>54</v>
      </c>
      <c r="AE433" s="153" t="s">
        <v>60</v>
      </c>
      <c r="AF433" s="159" t="s">
        <v>61</v>
      </c>
      <c r="AG433" s="159" t="s">
        <v>62</v>
      </c>
      <c r="AH433" s="159" t="s">
        <v>63</v>
      </c>
      <c r="AI433" s="159" t="s">
        <v>64</v>
      </c>
      <c r="AJ433" s="159" t="s">
        <v>64</v>
      </c>
      <c r="AK433" s="197" t="s">
        <v>64</v>
      </c>
      <c r="AL433" s="42"/>
      <c r="AM433" s="42"/>
      <c r="AN433" s="42"/>
      <c r="AO433" s="42"/>
    </row>
    <row r="434" spans="1:41" s="8" customFormat="1" ht="84.75" customHeight="1" thickBot="1" x14ac:dyDescent="0.25">
      <c r="A434" s="1"/>
      <c r="B434" s="196" t="s">
        <v>42</v>
      </c>
      <c r="C434" s="143">
        <v>1325</v>
      </c>
      <c r="D434" s="143" t="s">
        <v>155</v>
      </c>
      <c r="E434" s="143" t="s">
        <v>156</v>
      </c>
      <c r="F434" s="175" t="s">
        <v>123</v>
      </c>
      <c r="G434" s="175" t="s">
        <v>124</v>
      </c>
      <c r="H434" s="175" t="s">
        <v>1089</v>
      </c>
      <c r="I434" s="176">
        <f>174486497+5030000</f>
        <v>179516497</v>
      </c>
      <c r="J434" s="177" t="s">
        <v>60</v>
      </c>
      <c r="K434" s="177" t="s">
        <v>48</v>
      </c>
      <c r="L434" s="178" t="s">
        <v>1090</v>
      </c>
      <c r="M434" s="143" t="s">
        <v>1088</v>
      </c>
      <c r="N434" s="161" t="str">
        <f t="shared" si="52"/>
        <v xml:space="preserve"> Prestar el servicio de desarrollo para la actualización e implementación de funcionalidades en el sistema de Recursos Humanos de la UPN.</v>
      </c>
      <c r="O434" s="146">
        <v>9</v>
      </c>
      <c r="P434" s="146">
        <v>10</v>
      </c>
      <c r="Q434" s="147">
        <v>2</v>
      </c>
      <c r="R434" s="148" t="s">
        <v>51</v>
      </c>
      <c r="S434" s="149" t="s">
        <v>286</v>
      </c>
      <c r="T434" s="150" t="s">
        <v>53</v>
      </c>
      <c r="U434" s="151">
        <f t="shared" si="40"/>
        <v>179516497</v>
      </c>
      <c r="V434" s="152">
        <f t="shared" si="41"/>
        <v>179516497</v>
      </c>
      <c r="W434" s="153" t="s">
        <v>54</v>
      </c>
      <c r="X434" s="153" t="s">
        <v>55</v>
      </c>
      <c r="Y434" s="154" t="s">
        <v>56</v>
      </c>
      <c r="Z434" s="155" t="s">
        <v>57</v>
      </c>
      <c r="AA434" s="156" t="s">
        <v>42</v>
      </c>
      <c r="AB434" s="157" t="s">
        <v>58</v>
      </c>
      <c r="AC434" s="158" t="s">
        <v>59</v>
      </c>
      <c r="AD434" s="153" t="s">
        <v>54</v>
      </c>
      <c r="AE434" s="153" t="s">
        <v>60</v>
      </c>
      <c r="AF434" s="159" t="s">
        <v>61</v>
      </c>
      <c r="AG434" s="159" t="s">
        <v>62</v>
      </c>
      <c r="AH434" s="159" t="s">
        <v>63</v>
      </c>
      <c r="AI434" s="159" t="s">
        <v>64</v>
      </c>
      <c r="AJ434" s="159" t="s">
        <v>64</v>
      </c>
      <c r="AK434" s="197" t="s">
        <v>64</v>
      </c>
      <c r="AL434" s="42"/>
      <c r="AM434" s="42"/>
      <c r="AN434" s="42"/>
      <c r="AO434" s="42"/>
    </row>
    <row r="435" spans="1:41" ht="84.75" customHeight="1" thickBot="1" x14ac:dyDescent="0.25">
      <c r="A435" s="1"/>
      <c r="B435" s="196" t="s">
        <v>42</v>
      </c>
      <c r="C435" s="143">
        <v>1320</v>
      </c>
      <c r="D435" s="143" t="s">
        <v>150</v>
      </c>
      <c r="E435" s="143" t="s">
        <v>44</v>
      </c>
      <c r="F435" s="175" t="s">
        <v>430</v>
      </c>
      <c r="G435" s="175" t="s">
        <v>431</v>
      </c>
      <c r="H435" s="175" t="s">
        <v>1093</v>
      </c>
      <c r="I435" s="176">
        <v>18182000</v>
      </c>
      <c r="J435" s="177" t="s">
        <v>48</v>
      </c>
      <c r="K435" s="177" t="s">
        <v>48</v>
      </c>
      <c r="L435" s="178" t="s">
        <v>143</v>
      </c>
      <c r="M435" s="143" t="s">
        <v>50</v>
      </c>
      <c r="N435" s="145" t="str">
        <f t="shared" si="52"/>
        <v>Amparar el apoyo económico a diez estudiantes del IPN y un maestro en formación de la UPN, que desarrolla prácticas en el IPN, pertineciente al programa en pedagogía de la UPN, para participar en el intercambio de experiencias en las Escuelas Normales  Salvador Varela Resendiz y  Rural General Ramón Matías Santos en Zacatecas México</v>
      </c>
      <c r="O435" s="146">
        <v>9</v>
      </c>
      <c r="P435" s="146">
        <v>10</v>
      </c>
      <c r="Q435" s="147">
        <v>2</v>
      </c>
      <c r="R435" s="148" t="s">
        <v>51</v>
      </c>
      <c r="S435" s="149" t="s">
        <v>433</v>
      </c>
      <c r="T435" s="150" t="s">
        <v>282</v>
      </c>
      <c r="U435" s="151">
        <f t="shared" si="40"/>
        <v>18182000</v>
      </c>
      <c r="V435" s="152">
        <f t="shared" si="41"/>
        <v>18182000</v>
      </c>
      <c r="W435" s="153" t="s">
        <v>54</v>
      </c>
      <c r="X435" s="153" t="s">
        <v>55</v>
      </c>
      <c r="Y435" s="154" t="s">
        <v>56</v>
      </c>
      <c r="Z435" s="155" t="s">
        <v>57</v>
      </c>
      <c r="AA435" s="156" t="s">
        <v>42</v>
      </c>
      <c r="AB435" s="157" t="s">
        <v>58</v>
      </c>
      <c r="AC435" s="158" t="s">
        <v>59</v>
      </c>
      <c r="AD435" s="153" t="s">
        <v>54</v>
      </c>
      <c r="AE435" s="153" t="s">
        <v>60</v>
      </c>
      <c r="AF435" s="159" t="s">
        <v>61</v>
      </c>
      <c r="AG435" s="159" t="s">
        <v>62</v>
      </c>
      <c r="AH435" s="159" t="s">
        <v>63</v>
      </c>
      <c r="AI435" s="159" t="s">
        <v>64</v>
      </c>
      <c r="AJ435" s="159" t="s">
        <v>64</v>
      </c>
      <c r="AK435" s="197" t="s">
        <v>64</v>
      </c>
    </row>
    <row r="436" spans="1:41" ht="84.75" customHeight="1" thickBot="1" x14ac:dyDescent="0.25">
      <c r="A436" s="1"/>
      <c r="B436" s="196" t="s">
        <v>42</v>
      </c>
      <c r="C436" s="143">
        <v>1320</v>
      </c>
      <c r="D436" s="143" t="s">
        <v>150</v>
      </c>
      <c r="E436" s="143" t="s">
        <v>44</v>
      </c>
      <c r="F436" s="175" t="s">
        <v>120</v>
      </c>
      <c r="G436" s="175" t="s">
        <v>121</v>
      </c>
      <c r="H436" s="175" t="s">
        <v>1094</v>
      </c>
      <c r="I436" s="176">
        <v>240000</v>
      </c>
      <c r="J436" s="177" t="s">
        <v>48</v>
      </c>
      <c r="K436" s="177" t="s">
        <v>48</v>
      </c>
      <c r="L436" s="178" t="s">
        <v>143</v>
      </c>
      <c r="M436" s="143" t="s">
        <v>50</v>
      </c>
      <c r="N436" s="145" t="str">
        <f t="shared" si="52"/>
        <v>Amparar los aportes a riesgos laborales -ARL del estudiante que realizará la práctica educativa en la Universidad Pedagógica Nacional, en el marco del "CONVENIO DE PRÁCTICA Y PASANTÍA CELEBRADO ENTRE LA UNIVERSIDAD DEL VALLE Y LA UNIVERISDAD PEDAGOGICA NACIONAL".</v>
      </c>
      <c r="O436" s="146">
        <v>9</v>
      </c>
      <c r="P436" s="146">
        <v>10</v>
      </c>
      <c r="Q436" s="147">
        <v>2</v>
      </c>
      <c r="R436" s="148" t="s">
        <v>51</v>
      </c>
      <c r="S436" s="149" t="s">
        <v>472</v>
      </c>
      <c r="T436" s="150" t="s">
        <v>53</v>
      </c>
      <c r="U436" s="151">
        <f t="shared" si="40"/>
        <v>240000</v>
      </c>
      <c r="V436" s="152">
        <f t="shared" si="41"/>
        <v>240000</v>
      </c>
      <c r="W436" s="153" t="s">
        <v>54</v>
      </c>
      <c r="X436" s="153" t="s">
        <v>55</v>
      </c>
      <c r="Y436" s="154" t="s">
        <v>56</v>
      </c>
      <c r="Z436" s="155" t="s">
        <v>57</v>
      </c>
      <c r="AA436" s="156" t="s">
        <v>42</v>
      </c>
      <c r="AB436" s="157" t="s">
        <v>58</v>
      </c>
      <c r="AC436" s="158" t="s">
        <v>59</v>
      </c>
      <c r="AD436" s="153" t="s">
        <v>54</v>
      </c>
      <c r="AE436" s="153" t="s">
        <v>60</v>
      </c>
      <c r="AF436" s="159" t="s">
        <v>61</v>
      </c>
      <c r="AG436" s="159" t="s">
        <v>62</v>
      </c>
      <c r="AH436" s="159" t="s">
        <v>63</v>
      </c>
      <c r="AI436" s="159" t="s">
        <v>64</v>
      </c>
      <c r="AJ436" s="159" t="s">
        <v>64</v>
      </c>
      <c r="AK436" s="197" t="s">
        <v>64</v>
      </c>
    </row>
    <row r="437" spans="1:41" ht="84.75" customHeight="1" thickBot="1" x14ac:dyDescent="0.25">
      <c r="A437" s="1"/>
      <c r="B437" s="196" t="s">
        <v>42</v>
      </c>
      <c r="C437" s="143">
        <v>1320</v>
      </c>
      <c r="D437" s="143" t="s">
        <v>150</v>
      </c>
      <c r="E437" s="143" t="s">
        <v>44</v>
      </c>
      <c r="F437" s="175" t="s">
        <v>123</v>
      </c>
      <c r="G437" s="175" t="s">
        <v>124</v>
      </c>
      <c r="H437" s="175" t="s">
        <v>476</v>
      </c>
      <c r="I437" s="176">
        <f>1000000+2500000</f>
        <v>3500000</v>
      </c>
      <c r="J437" s="177" t="s">
        <v>60</v>
      </c>
      <c r="K437" s="177" t="s">
        <v>48</v>
      </c>
      <c r="L437" s="178" t="s">
        <v>1095</v>
      </c>
      <c r="M437" s="143" t="s">
        <v>478</v>
      </c>
      <c r="N437" s="145" t="str">
        <f t="shared" si="52"/>
        <v>Prestar el servicio para la elaboración e impresión del material de divulgación requerido por la Universidad Pedagógica Nacional para atender los diferentes eventos y/o requerimientos institucionales.</v>
      </c>
      <c r="O437" s="146">
        <v>9</v>
      </c>
      <c r="P437" s="146">
        <v>10</v>
      </c>
      <c r="Q437" s="147">
        <v>2</v>
      </c>
      <c r="R437" s="148" t="s">
        <v>51</v>
      </c>
      <c r="S437" s="149" t="s">
        <v>479</v>
      </c>
      <c r="T437" s="150" t="s">
        <v>53</v>
      </c>
      <c r="U437" s="151">
        <f t="shared" si="40"/>
        <v>3500000</v>
      </c>
      <c r="V437" s="152">
        <f t="shared" si="41"/>
        <v>3500000</v>
      </c>
      <c r="W437" s="153" t="s">
        <v>54</v>
      </c>
      <c r="X437" s="153" t="s">
        <v>55</v>
      </c>
      <c r="Y437" s="154" t="s">
        <v>56</v>
      </c>
      <c r="Z437" s="155" t="s">
        <v>57</v>
      </c>
      <c r="AA437" s="156" t="s">
        <v>42</v>
      </c>
      <c r="AB437" s="157" t="s">
        <v>58</v>
      </c>
      <c r="AC437" s="158" t="s">
        <v>59</v>
      </c>
      <c r="AD437" s="153" t="s">
        <v>54</v>
      </c>
      <c r="AE437" s="153" t="s">
        <v>60</v>
      </c>
      <c r="AF437" s="159" t="s">
        <v>61</v>
      </c>
      <c r="AG437" s="159" t="s">
        <v>62</v>
      </c>
      <c r="AH437" s="159" t="s">
        <v>63</v>
      </c>
      <c r="AI437" s="159" t="s">
        <v>64</v>
      </c>
      <c r="AJ437" s="159" t="s">
        <v>64</v>
      </c>
      <c r="AK437" s="197" t="s">
        <v>64</v>
      </c>
    </row>
    <row r="438" spans="1:41" s="8" customFormat="1" ht="84.75" customHeight="1" thickBot="1" x14ac:dyDescent="0.25">
      <c r="A438" s="1"/>
      <c r="B438" s="196" t="s">
        <v>42</v>
      </c>
      <c r="C438" s="143">
        <v>1320</v>
      </c>
      <c r="D438" s="143" t="s">
        <v>150</v>
      </c>
      <c r="E438" s="143" t="s">
        <v>44</v>
      </c>
      <c r="F438" s="175" t="s">
        <v>123</v>
      </c>
      <c r="G438" s="175" t="s">
        <v>124</v>
      </c>
      <c r="H438" s="175" t="s">
        <v>1096</v>
      </c>
      <c r="I438" s="176">
        <v>22000000</v>
      </c>
      <c r="J438" s="177" t="s">
        <v>575</v>
      </c>
      <c r="K438" s="177" t="s">
        <v>48</v>
      </c>
      <c r="L438" s="178" t="s">
        <v>1097</v>
      </c>
      <c r="M438" s="143" t="s">
        <v>321</v>
      </c>
      <c r="N438" s="145" t="str">
        <f t="shared" si="52"/>
        <v>Adición al contrato No. 365 del 2024 cuyo objeto es "Realizar el mantenimiento preventivo y correctivo de las calderas del restaurante y la piscina de la Universidad Pedagógica Nacional".</v>
      </c>
      <c r="O438" s="146">
        <v>9</v>
      </c>
      <c r="P438" s="146">
        <v>10</v>
      </c>
      <c r="Q438" s="147">
        <v>2</v>
      </c>
      <c r="R438" s="148" t="s">
        <v>51</v>
      </c>
      <c r="S438" s="149" t="s">
        <v>322</v>
      </c>
      <c r="T438" s="150" t="s">
        <v>53</v>
      </c>
      <c r="U438" s="151">
        <f t="shared" si="40"/>
        <v>22000000</v>
      </c>
      <c r="V438" s="152">
        <f t="shared" si="41"/>
        <v>22000000</v>
      </c>
      <c r="W438" s="153" t="s">
        <v>54</v>
      </c>
      <c r="X438" s="153" t="s">
        <v>55</v>
      </c>
      <c r="Y438" s="154" t="s">
        <v>56</v>
      </c>
      <c r="Z438" s="155" t="s">
        <v>57</v>
      </c>
      <c r="AA438" s="156" t="s">
        <v>42</v>
      </c>
      <c r="AB438" s="157" t="s">
        <v>58</v>
      </c>
      <c r="AC438" s="158" t="s">
        <v>59</v>
      </c>
      <c r="AD438" s="153" t="s">
        <v>54</v>
      </c>
      <c r="AE438" s="153" t="s">
        <v>60</v>
      </c>
      <c r="AF438" s="159" t="s">
        <v>61</v>
      </c>
      <c r="AG438" s="159" t="s">
        <v>62</v>
      </c>
      <c r="AH438" s="159" t="s">
        <v>63</v>
      </c>
      <c r="AI438" s="159" t="s">
        <v>64</v>
      </c>
      <c r="AJ438" s="159" t="s">
        <v>64</v>
      </c>
      <c r="AK438" s="197" t="s">
        <v>64</v>
      </c>
      <c r="AL438" s="42"/>
      <c r="AM438" s="42"/>
      <c r="AN438" s="42"/>
      <c r="AO438" s="42"/>
    </row>
    <row r="439" spans="1:41" s="8" customFormat="1" ht="84.75" customHeight="1" thickBot="1" x14ac:dyDescent="0.25">
      <c r="A439" s="1"/>
      <c r="B439" s="196" t="s">
        <v>240</v>
      </c>
      <c r="C439" s="143">
        <v>1340</v>
      </c>
      <c r="D439" s="143" t="s">
        <v>640</v>
      </c>
      <c r="E439" s="143" t="s">
        <v>44</v>
      </c>
      <c r="F439" s="175" t="s">
        <v>111</v>
      </c>
      <c r="G439" s="175" t="s">
        <v>112</v>
      </c>
      <c r="H439" s="175" t="s">
        <v>1098</v>
      </c>
      <c r="I439" s="176">
        <v>1863540</v>
      </c>
      <c r="J439" s="177" t="s">
        <v>60</v>
      </c>
      <c r="K439" s="177" t="s">
        <v>48</v>
      </c>
      <c r="L439" s="178" t="s">
        <v>1099</v>
      </c>
      <c r="M439" s="143" t="s">
        <v>643</v>
      </c>
      <c r="N439" s="237" t="str">
        <f t="shared" si="52"/>
        <v>Suministrar materiales y herramientas  para el Departamento de Tecnologia de la Universidad Pedagógica Nacional.</v>
      </c>
      <c r="O439" s="146">
        <v>10</v>
      </c>
      <c r="P439" s="146">
        <v>11</v>
      </c>
      <c r="Q439" s="147">
        <v>2</v>
      </c>
      <c r="R439" s="148" t="s">
        <v>51</v>
      </c>
      <c r="S439" s="149" t="s">
        <v>655</v>
      </c>
      <c r="T439" s="150" t="s">
        <v>53</v>
      </c>
      <c r="U439" s="151">
        <f t="shared" si="40"/>
        <v>1863540</v>
      </c>
      <c r="V439" s="152">
        <f t="shared" si="41"/>
        <v>1863540</v>
      </c>
      <c r="W439" s="153" t="s">
        <v>54</v>
      </c>
      <c r="X439" s="153" t="s">
        <v>55</v>
      </c>
      <c r="Y439" s="154" t="s">
        <v>56</v>
      </c>
      <c r="Z439" s="155" t="s">
        <v>57</v>
      </c>
      <c r="AA439" s="156" t="s">
        <v>240</v>
      </c>
      <c r="AB439" s="157" t="s">
        <v>58</v>
      </c>
      <c r="AC439" s="158" t="s">
        <v>59</v>
      </c>
      <c r="AD439" s="153" t="s">
        <v>54</v>
      </c>
      <c r="AE439" s="153" t="s">
        <v>60</v>
      </c>
      <c r="AF439" s="159" t="s">
        <v>61</v>
      </c>
      <c r="AG439" s="159" t="s">
        <v>62</v>
      </c>
      <c r="AH439" s="159" t="s">
        <v>63</v>
      </c>
      <c r="AI439" s="159" t="s">
        <v>64</v>
      </c>
      <c r="AJ439" s="159" t="s">
        <v>64</v>
      </c>
      <c r="AK439" s="197" t="s">
        <v>64</v>
      </c>
      <c r="AL439" s="42"/>
      <c r="AM439" s="42"/>
      <c r="AN439" s="42"/>
      <c r="AO439" s="42"/>
    </row>
    <row r="440" spans="1:41" s="8" customFormat="1" ht="84.75" customHeight="1" thickBot="1" x14ac:dyDescent="0.25">
      <c r="A440" s="1"/>
      <c r="B440" s="196" t="s">
        <v>240</v>
      </c>
      <c r="C440" s="143">
        <v>1340</v>
      </c>
      <c r="D440" s="143" t="s">
        <v>640</v>
      </c>
      <c r="E440" s="143" t="s">
        <v>44</v>
      </c>
      <c r="F440" s="175" t="s">
        <v>114</v>
      </c>
      <c r="G440" s="175" t="s">
        <v>115</v>
      </c>
      <c r="H440" s="175" t="s">
        <v>1098</v>
      </c>
      <c r="I440" s="176">
        <v>2000390</v>
      </c>
      <c r="J440" s="177" t="s">
        <v>60</v>
      </c>
      <c r="K440" s="177" t="s">
        <v>48</v>
      </c>
      <c r="L440" s="178" t="s">
        <v>1099</v>
      </c>
      <c r="M440" s="143" t="s">
        <v>643</v>
      </c>
      <c r="N440" s="237"/>
      <c r="O440" s="146">
        <v>10</v>
      </c>
      <c r="P440" s="146">
        <v>11</v>
      </c>
      <c r="Q440" s="147">
        <v>2</v>
      </c>
      <c r="R440" s="148" t="s">
        <v>51</v>
      </c>
      <c r="S440" s="149" t="s">
        <v>658</v>
      </c>
      <c r="T440" s="150" t="s">
        <v>53</v>
      </c>
      <c r="U440" s="151">
        <f t="shared" si="40"/>
        <v>2000390</v>
      </c>
      <c r="V440" s="152">
        <f t="shared" si="41"/>
        <v>2000390</v>
      </c>
      <c r="W440" s="153" t="s">
        <v>54</v>
      </c>
      <c r="X440" s="153" t="s">
        <v>55</v>
      </c>
      <c r="Y440" s="154" t="s">
        <v>56</v>
      </c>
      <c r="Z440" s="155" t="s">
        <v>57</v>
      </c>
      <c r="AA440" s="156" t="s">
        <v>240</v>
      </c>
      <c r="AB440" s="157" t="s">
        <v>58</v>
      </c>
      <c r="AC440" s="158" t="s">
        <v>59</v>
      </c>
      <c r="AD440" s="153" t="s">
        <v>54</v>
      </c>
      <c r="AE440" s="153" t="s">
        <v>60</v>
      </c>
      <c r="AF440" s="159" t="s">
        <v>61</v>
      </c>
      <c r="AG440" s="159" t="s">
        <v>62</v>
      </c>
      <c r="AH440" s="159" t="s">
        <v>63</v>
      </c>
      <c r="AI440" s="159" t="s">
        <v>64</v>
      </c>
      <c r="AJ440" s="159" t="s">
        <v>64</v>
      </c>
      <c r="AK440" s="197" t="s">
        <v>64</v>
      </c>
      <c r="AL440" s="42"/>
      <c r="AM440" s="42"/>
      <c r="AN440" s="42"/>
      <c r="AO440" s="42"/>
    </row>
    <row r="441" spans="1:41" s="8" customFormat="1" ht="84.75" customHeight="1" thickBot="1" x14ac:dyDescent="0.25">
      <c r="A441" s="1"/>
      <c r="B441" s="196" t="s">
        <v>240</v>
      </c>
      <c r="C441" s="143">
        <v>1340</v>
      </c>
      <c r="D441" s="143" t="s">
        <v>640</v>
      </c>
      <c r="E441" s="143" t="s">
        <v>44</v>
      </c>
      <c r="F441" s="175" t="s">
        <v>1005</v>
      </c>
      <c r="G441" s="175" t="s">
        <v>1017</v>
      </c>
      <c r="H441" s="175" t="s">
        <v>1098</v>
      </c>
      <c r="I441" s="176">
        <v>1130500</v>
      </c>
      <c r="J441" s="177" t="s">
        <v>60</v>
      </c>
      <c r="K441" s="177" t="s">
        <v>48</v>
      </c>
      <c r="L441" s="178" t="s">
        <v>1099</v>
      </c>
      <c r="M441" s="143" t="s">
        <v>643</v>
      </c>
      <c r="N441" s="237"/>
      <c r="O441" s="146">
        <v>10</v>
      </c>
      <c r="P441" s="146">
        <v>11</v>
      </c>
      <c r="Q441" s="147">
        <v>2</v>
      </c>
      <c r="R441" s="148" t="s">
        <v>51</v>
      </c>
      <c r="S441" s="149" t="s">
        <v>658</v>
      </c>
      <c r="T441" s="150" t="s">
        <v>53</v>
      </c>
      <c r="U441" s="151">
        <f t="shared" si="40"/>
        <v>1130500</v>
      </c>
      <c r="V441" s="152">
        <f t="shared" si="41"/>
        <v>1130500</v>
      </c>
      <c r="W441" s="153" t="s">
        <v>54</v>
      </c>
      <c r="X441" s="153" t="s">
        <v>55</v>
      </c>
      <c r="Y441" s="154" t="s">
        <v>56</v>
      </c>
      <c r="Z441" s="155" t="s">
        <v>57</v>
      </c>
      <c r="AA441" s="156" t="s">
        <v>240</v>
      </c>
      <c r="AB441" s="157" t="s">
        <v>58</v>
      </c>
      <c r="AC441" s="158" t="s">
        <v>59</v>
      </c>
      <c r="AD441" s="153" t="s">
        <v>54</v>
      </c>
      <c r="AE441" s="153" t="s">
        <v>60</v>
      </c>
      <c r="AF441" s="159" t="s">
        <v>61</v>
      </c>
      <c r="AG441" s="159" t="s">
        <v>62</v>
      </c>
      <c r="AH441" s="159" t="s">
        <v>63</v>
      </c>
      <c r="AI441" s="159" t="s">
        <v>64</v>
      </c>
      <c r="AJ441" s="159" t="s">
        <v>64</v>
      </c>
      <c r="AK441" s="197" t="s">
        <v>64</v>
      </c>
      <c r="AL441" s="42"/>
      <c r="AM441" s="42"/>
      <c r="AN441" s="42"/>
      <c r="AO441" s="42"/>
    </row>
    <row r="442" spans="1:41" s="8" customFormat="1" ht="84.75" customHeight="1" thickBot="1" x14ac:dyDescent="0.25">
      <c r="A442" s="1"/>
      <c r="B442" s="196" t="s">
        <v>42</v>
      </c>
      <c r="C442" s="143">
        <v>1470</v>
      </c>
      <c r="D442" s="143" t="s">
        <v>131</v>
      </c>
      <c r="E442" s="143" t="s">
        <v>132</v>
      </c>
      <c r="F442" s="175" t="s">
        <v>68</v>
      </c>
      <c r="G442" s="175" t="s">
        <v>69</v>
      </c>
      <c r="H442" s="175" t="s">
        <v>1100</v>
      </c>
      <c r="I442" s="176">
        <v>1739999</v>
      </c>
      <c r="J442" s="177" t="s">
        <v>60</v>
      </c>
      <c r="K442" s="177" t="s">
        <v>48</v>
      </c>
      <c r="L442" s="178" t="s">
        <v>1101</v>
      </c>
      <c r="M442" s="143">
        <v>24131600</v>
      </c>
      <c r="N442" s="145" t="str">
        <f>H442</f>
        <v>Adquirir un congelador para la puesta en marcha de las  salas amigas de la familia lactante del Programa de Salud de la Subdirección de Bienestar Universitario</v>
      </c>
      <c r="O442" s="146">
        <v>10</v>
      </c>
      <c r="P442" s="146">
        <v>11</v>
      </c>
      <c r="Q442" s="147">
        <v>2</v>
      </c>
      <c r="R442" s="148" t="s">
        <v>51</v>
      </c>
      <c r="S442" s="149" t="s">
        <v>322</v>
      </c>
      <c r="T442" s="150" t="s">
        <v>53</v>
      </c>
      <c r="U442" s="151">
        <f t="shared" si="40"/>
        <v>1739999</v>
      </c>
      <c r="V442" s="152">
        <f t="shared" si="41"/>
        <v>1739999</v>
      </c>
      <c r="W442" s="153" t="s">
        <v>54</v>
      </c>
      <c r="X442" s="153" t="s">
        <v>55</v>
      </c>
      <c r="Y442" s="154" t="s">
        <v>56</v>
      </c>
      <c r="Z442" s="155" t="s">
        <v>57</v>
      </c>
      <c r="AA442" s="156" t="s">
        <v>42</v>
      </c>
      <c r="AB442" s="157" t="s">
        <v>58</v>
      </c>
      <c r="AC442" s="158" t="s">
        <v>59</v>
      </c>
      <c r="AD442" s="153" t="s">
        <v>54</v>
      </c>
      <c r="AE442" s="153" t="s">
        <v>60</v>
      </c>
      <c r="AF442" s="159" t="s">
        <v>61</v>
      </c>
      <c r="AG442" s="159" t="s">
        <v>62</v>
      </c>
      <c r="AH442" s="159" t="s">
        <v>63</v>
      </c>
      <c r="AI442" s="159" t="s">
        <v>64</v>
      </c>
      <c r="AJ442" s="159" t="s">
        <v>64</v>
      </c>
      <c r="AK442" s="197" t="s">
        <v>64</v>
      </c>
      <c r="AL442" s="42"/>
      <c r="AM442" s="42"/>
      <c r="AN442" s="42"/>
      <c r="AO442" s="42"/>
    </row>
    <row r="443" spans="1:41" s="8" customFormat="1" ht="84.75" customHeight="1" thickBot="1" x14ac:dyDescent="0.25">
      <c r="A443" s="1"/>
      <c r="B443" s="196"/>
      <c r="C443" s="143">
        <v>1430</v>
      </c>
      <c r="D443" s="143" t="s">
        <v>708</v>
      </c>
      <c r="E443" s="143" t="s">
        <v>132</v>
      </c>
      <c r="F443" s="175" t="s">
        <v>760</v>
      </c>
      <c r="G443" s="175" t="s">
        <v>761</v>
      </c>
      <c r="H443" s="175" t="s">
        <v>1102</v>
      </c>
      <c r="I443" s="176">
        <v>24558000</v>
      </c>
      <c r="J443" s="177" t="s">
        <v>60</v>
      </c>
      <c r="K443" s="177" t="s">
        <v>48</v>
      </c>
      <c r="L443" s="178" t="s">
        <v>1103</v>
      </c>
      <c r="M443" s="238" t="s">
        <v>1104</v>
      </c>
      <c r="N443" s="237" t="str">
        <f>H444</f>
        <v>Adquirir artículos y elementos deportivos para el programa de Deporte y Recreación, perteneciente a la Subdirección de Bienestar Universitario de la Universidad Pedagógica Nacional, que beneficia a toda la comunidad académica y en particular a los estudiantes de pregrado y posgrado en pro de su permanencia y graduación.</v>
      </c>
      <c r="O443" s="146"/>
      <c r="P443" s="146"/>
      <c r="Q443" s="147"/>
      <c r="R443" s="148"/>
      <c r="S443" s="149"/>
      <c r="T443" s="150" t="s">
        <v>53</v>
      </c>
      <c r="U443" s="151">
        <f t="shared" si="40"/>
        <v>24558000</v>
      </c>
      <c r="V443" s="152">
        <f t="shared" si="41"/>
        <v>24558000</v>
      </c>
      <c r="W443" s="153"/>
      <c r="X443" s="153"/>
      <c r="Y443" s="154"/>
      <c r="Z443" s="155"/>
      <c r="AA443" s="156"/>
      <c r="AB443" s="157"/>
      <c r="AC443" s="158"/>
      <c r="AD443" s="153"/>
      <c r="AE443" s="153"/>
      <c r="AF443" s="159"/>
      <c r="AG443" s="159"/>
      <c r="AH443" s="159"/>
      <c r="AI443" s="159"/>
      <c r="AJ443" s="159"/>
      <c r="AK443" s="197"/>
      <c r="AL443" s="42"/>
      <c r="AM443" s="42"/>
      <c r="AN443" s="42"/>
      <c r="AO443" s="42"/>
    </row>
    <row r="444" spans="1:41" s="8" customFormat="1" ht="84.75" customHeight="1" thickBot="1" x14ac:dyDescent="0.25">
      <c r="A444" s="1"/>
      <c r="B444" s="196" t="s">
        <v>42</v>
      </c>
      <c r="C444" s="143">
        <v>1430</v>
      </c>
      <c r="D444" s="143" t="s">
        <v>708</v>
      </c>
      <c r="E444" s="143" t="s">
        <v>132</v>
      </c>
      <c r="F444" s="175" t="s">
        <v>760</v>
      </c>
      <c r="G444" s="175" t="s">
        <v>761</v>
      </c>
      <c r="H444" s="175" t="s">
        <v>1102</v>
      </c>
      <c r="I444" s="176">
        <v>20000000</v>
      </c>
      <c r="J444" s="177" t="s">
        <v>60</v>
      </c>
      <c r="K444" s="177" t="s">
        <v>48</v>
      </c>
      <c r="L444" s="178" t="s">
        <v>1103</v>
      </c>
      <c r="M444" s="238"/>
      <c r="N444" s="237"/>
      <c r="O444" s="146">
        <v>10</v>
      </c>
      <c r="P444" s="146">
        <v>11</v>
      </c>
      <c r="Q444" s="147">
        <v>2</v>
      </c>
      <c r="R444" s="148" t="s">
        <v>51</v>
      </c>
      <c r="S444" s="149" t="s">
        <v>322</v>
      </c>
      <c r="T444" s="150" t="s">
        <v>282</v>
      </c>
      <c r="U444" s="151">
        <f t="shared" si="40"/>
        <v>20000000</v>
      </c>
      <c r="V444" s="152">
        <f t="shared" si="41"/>
        <v>20000000</v>
      </c>
      <c r="W444" s="153" t="s">
        <v>54</v>
      </c>
      <c r="X444" s="153" t="s">
        <v>55</v>
      </c>
      <c r="Y444" s="154" t="s">
        <v>56</v>
      </c>
      <c r="Z444" s="155" t="s">
        <v>57</v>
      </c>
      <c r="AA444" s="156" t="s">
        <v>42</v>
      </c>
      <c r="AB444" s="157" t="s">
        <v>58</v>
      </c>
      <c r="AC444" s="158" t="s">
        <v>59</v>
      </c>
      <c r="AD444" s="153" t="s">
        <v>54</v>
      </c>
      <c r="AE444" s="153" t="s">
        <v>60</v>
      </c>
      <c r="AF444" s="159" t="s">
        <v>61</v>
      </c>
      <c r="AG444" s="159" t="s">
        <v>62</v>
      </c>
      <c r="AH444" s="159" t="s">
        <v>63</v>
      </c>
      <c r="AI444" s="159" t="s">
        <v>64</v>
      </c>
      <c r="AJ444" s="159" t="s">
        <v>64</v>
      </c>
      <c r="AK444" s="197" t="s">
        <v>64</v>
      </c>
      <c r="AL444" s="42"/>
      <c r="AM444" s="42"/>
      <c r="AN444" s="42"/>
      <c r="AO444" s="42"/>
    </row>
    <row r="445" spans="1:41" s="8" customFormat="1" ht="84.75" customHeight="1" thickBot="1" x14ac:dyDescent="0.25">
      <c r="A445" s="1"/>
      <c r="B445" s="196" t="s">
        <v>42</v>
      </c>
      <c r="C445" s="143">
        <v>1430</v>
      </c>
      <c r="D445" s="143" t="s">
        <v>708</v>
      </c>
      <c r="E445" s="143" t="s">
        <v>132</v>
      </c>
      <c r="F445" s="175" t="s">
        <v>102</v>
      </c>
      <c r="G445" s="175" t="s">
        <v>103</v>
      </c>
      <c r="H445" s="175" t="s">
        <v>1102</v>
      </c>
      <c r="I445" s="176">
        <f>8025000+691000</f>
        <v>8716000</v>
      </c>
      <c r="J445" s="177" t="s">
        <v>60</v>
      </c>
      <c r="K445" s="177" t="s">
        <v>48</v>
      </c>
      <c r="L445" s="178" t="s">
        <v>1103</v>
      </c>
      <c r="M445" s="238"/>
      <c r="N445" s="237"/>
      <c r="O445" s="146">
        <v>10</v>
      </c>
      <c r="P445" s="146">
        <v>11</v>
      </c>
      <c r="Q445" s="147">
        <v>2</v>
      </c>
      <c r="R445" s="148" t="s">
        <v>51</v>
      </c>
      <c r="S445" s="149" t="s">
        <v>322</v>
      </c>
      <c r="T445" s="150" t="s">
        <v>53</v>
      </c>
      <c r="U445" s="151">
        <f t="shared" si="40"/>
        <v>8716000</v>
      </c>
      <c r="V445" s="152">
        <f t="shared" si="41"/>
        <v>8716000</v>
      </c>
      <c r="W445" s="153" t="s">
        <v>54</v>
      </c>
      <c r="X445" s="153" t="s">
        <v>55</v>
      </c>
      <c r="Y445" s="154" t="s">
        <v>56</v>
      </c>
      <c r="Z445" s="155" t="s">
        <v>57</v>
      </c>
      <c r="AA445" s="156" t="s">
        <v>42</v>
      </c>
      <c r="AB445" s="157" t="s">
        <v>58</v>
      </c>
      <c r="AC445" s="158" t="s">
        <v>59</v>
      </c>
      <c r="AD445" s="153" t="s">
        <v>54</v>
      </c>
      <c r="AE445" s="153" t="s">
        <v>60</v>
      </c>
      <c r="AF445" s="159" t="s">
        <v>61</v>
      </c>
      <c r="AG445" s="159" t="s">
        <v>62</v>
      </c>
      <c r="AH445" s="159" t="s">
        <v>63</v>
      </c>
      <c r="AI445" s="159" t="s">
        <v>64</v>
      </c>
      <c r="AJ445" s="159" t="s">
        <v>64</v>
      </c>
      <c r="AK445" s="197" t="s">
        <v>64</v>
      </c>
      <c r="AL445" s="42"/>
      <c r="AM445" s="42"/>
      <c r="AN445" s="42"/>
      <c r="AO445" s="42"/>
    </row>
    <row r="446" spans="1:41" s="8" customFormat="1" ht="84.75" customHeight="1" thickBot="1" x14ac:dyDescent="0.25">
      <c r="A446" s="1"/>
      <c r="B446" s="196" t="s">
        <v>42</v>
      </c>
      <c r="C446" s="143">
        <v>1430</v>
      </c>
      <c r="D446" s="143" t="s">
        <v>708</v>
      </c>
      <c r="E446" s="143" t="s">
        <v>132</v>
      </c>
      <c r="F446" s="175" t="s">
        <v>114</v>
      </c>
      <c r="G446" s="175" t="s">
        <v>1105</v>
      </c>
      <c r="H446" s="175" t="s">
        <v>1102</v>
      </c>
      <c r="I446" s="176">
        <f>149000</f>
        <v>149000</v>
      </c>
      <c r="J446" s="177" t="s">
        <v>60</v>
      </c>
      <c r="K446" s="177" t="s">
        <v>48</v>
      </c>
      <c r="L446" s="178" t="s">
        <v>1103</v>
      </c>
      <c r="M446" s="238"/>
      <c r="N446" s="237"/>
      <c r="O446" s="146">
        <v>10</v>
      </c>
      <c r="P446" s="146">
        <v>11</v>
      </c>
      <c r="Q446" s="147">
        <v>2</v>
      </c>
      <c r="R446" s="148" t="s">
        <v>51</v>
      </c>
      <c r="S446" s="149" t="s">
        <v>322</v>
      </c>
      <c r="T446" s="150" t="s">
        <v>53</v>
      </c>
      <c r="U446" s="151">
        <f t="shared" si="40"/>
        <v>149000</v>
      </c>
      <c r="V446" s="152">
        <f t="shared" si="41"/>
        <v>149000</v>
      </c>
      <c r="W446" s="153" t="s">
        <v>54</v>
      </c>
      <c r="X446" s="153" t="s">
        <v>55</v>
      </c>
      <c r="Y446" s="154" t="s">
        <v>56</v>
      </c>
      <c r="Z446" s="155" t="s">
        <v>57</v>
      </c>
      <c r="AA446" s="156" t="s">
        <v>42</v>
      </c>
      <c r="AB446" s="157" t="s">
        <v>58</v>
      </c>
      <c r="AC446" s="158" t="s">
        <v>59</v>
      </c>
      <c r="AD446" s="153" t="s">
        <v>54</v>
      </c>
      <c r="AE446" s="153" t="s">
        <v>60</v>
      </c>
      <c r="AF446" s="159" t="s">
        <v>61</v>
      </c>
      <c r="AG446" s="159" t="s">
        <v>62</v>
      </c>
      <c r="AH446" s="159" t="s">
        <v>63</v>
      </c>
      <c r="AI446" s="159" t="s">
        <v>64</v>
      </c>
      <c r="AJ446" s="159" t="s">
        <v>64</v>
      </c>
      <c r="AK446" s="197" t="s">
        <v>64</v>
      </c>
      <c r="AL446" s="42"/>
      <c r="AM446" s="42"/>
      <c r="AN446" s="42"/>
      <c r="AO446" s="42"/>
    </row>
    <row r="447" spans="1:41" customFormat="1" ht="84.75" customHeight="1" thickBot="1" x14ac:dyDescent="0.3">
      <c r="B447" s="196" t="s">
        <v>42</v>
      </c>
      <c r="C447" s="143">
        <v>1420</v>
      </c>
      <c r="D447" s="143" t="s">
        <v>663</v>
      </c>
      <c r="E447" s="143" t="s">
        <v>132</v>
      </c>
      <c r="F447" s="175" t="s">
        <v>117</v>
      </c>
      <c r="G447" s="175" t="s">
        <v>118</v>
      </c>
      <c r="H447" s="175" t="s">
        <v>1106</v>
      </c>
      <c r="I447" s="176">
        <v>9332925</v>
      </c>
      <c r="J447" s="177" t="s">
        <v>575</v>
      </c>
      <c r="K447" s="177" t="s">
        <v>48</v>
      </c>
      <c r="L447" s="178" t="s">
        <v>1107</v>
      </c>
      <c r="M447" s="143" t="s">
        <v>687</v>
      </c>
      <c r="N447" s="145" t="str">
        <f t="shared" ref="N447:N460" si="53">H447</f>
        <v>Adición al contrato No. 165 de 2024, que tiene por objeto "Prestar el
servicio de transporte de alimentos para los restaurantes y cafeterías de la Universidad Pedagógica Nacional"</v>
      </c>
      <c r="O447" s="146">
        <v>10</v>
      </c>
      <c r="P447" s="146">
        <v>10</v>
      </c>
      <c r="Q447" s="147">
        <v>2</v>
      </c>
      <c r="R447" s="148" t="s">
        <v>51</v>
      </c>
      <c r="S447" s="149" t="s">
        <v>669</v>
      </c>
      <c r="T447" s="150" t="s">
        <v>53</v>
      </c>
      <c r="U447" s="151">
        <f t="shared" si="40"/>
        <v>9332925</v>
      </c>
      <c r="V447" s="152">
        <f t="shared" si="41"/>
        <v>9332925</v>
      </c>
      <c r="W447" s="153" t="s">
        <v>54</v>
      </c>
      <c r="X447" s="153" t="s">
        <v>55</v>
      </c>
      <c r="Y447" s="154" t="s">
        <v>56</v>
      </c>
      <c r="Z447" s="155" t="s">
        <v>57</v>
      </c>
      <c r="AA447" s="156" t="s">
        <v>42</v>
      </c>
      <c r="AB447" s="157" t="s">
        <v>1108</v>
      </c>
      <c r="AC447" s="158" t="s">
        <v>59</v>
      </c>
      <c r="AD447" s="153" t="s">
        <v>54</v>
      </c>
      <c r="AE447" s="153" t="s">
        <v>60</v>
      </c>
      <c r="AF447" s="159" t="s">
        <v>61</v>
      </c>
      <c r="AG447" s="159" t="s">
        <v>62</v>
      </c>
      <c r="AH447" s="159" t="s">
        <v>63</v>
      </c>
      <c r="AI447" s="159" t="s">
        <v>64</v>
      </c>
      <c r="AJ447" s="159" t="s">
        <v>64</v>
      </c>
      <c r="AK447" s="197" t="s">
        <v>64</v>
      </c>
      <c r="AL447" s="43"/>
      <c r="AM447" s="43"/>
      <c r="AN447" s="43"/>
      <c r="AO447" s="43"/>
    </row>
    <row r="448" spans="1:41" customFormat="1" ht="84.75" customHeight="1" thickBot="1" x14ac:dyDescent="0.3">
      <c r="B448" s="196" t="s">
        <v>42</v>
      </c>
      <c r="C448" s="143">
        <v>1420</v>
      </c>
      <c r="D448" s="143" t="s">
        <v>663</v>
      </c>
      <c r="E448" s="143" t="s">
        <v>132</v>
      </c>
      <c r="F448" s="175" t="s">
        <v>123</v>
      </c>
      <c r="G448" s="175" t="s">
        <v>345</v>
      </c>
      <c r="H448" s="175" t="s">
        <v>1109</v>
      </c>
      <c r="I448" s="176">
        <v>23710750</v>
      </c>
      <c r="J448" s="177" t="s">
        <v>575</v>
      </c>
      <c r="K448" s="177" t="s">
        <v>48</v>
      </c>
      <c r="L448" s="178" t="s">
        <v>1110</v>
      </c>
      <c r="M448" s="143">
        <v>73152100</v>
      </c>
      <c r="N448" s="145" t="str">
        <f t="shared" si="53"/>
        <v>Adición al contrato No. 301 de 2024, cuyo objeto es "Realizar el
mantenimiento preventivo y correctivo de los equipos del restaurante"</v>
      </c>
      <c r="O448" s="146">
        <v>10</v>
      </c>
      <c r="P448" s="146">
        <v>10</v>
      </c>
      <c r="Q448" s="147">
        <v>2</v>
      </c>
      <c r="R448" s="148" t="s">
        <v>51</v>
      </c>
      <c r="S448" s="149" t="s">
        <v>669</v>
      </c>
      <c r="T448" s="150" t="s">
        <v>53</v>
      </c>
      <c r="U448" s="151">
        <f t="shared" si="40"/>
        <v>23710750</v>
      </c>
      <c r="V448" s="152">
        <f t="shared" si="41"/>
        <v>23710750</v>
      </c>
      <c r="W448" s="153" t="s">
        <v>54</v>
      </c>
      <c r="X448" s="153" t="s">
        <v>55</v>
      </c>
      <c r="Y448" s="154" t="s">
        <v>56</v>
      </c>
      <c r="Z448" s="155" t="s">
        <v>57</v>
      </c>
      <c r="AA448" s="156" t="s">
        <v>42</v>
      </c>
      <c r="AB448" s="157" t="s">
        <v>1108</v>
      </c>
      <c r="AC448" s="158" t="s">
        <v>59</v>
      </c>
      <c r="AD448" s="153" t="s">
        <v>54</v>
      </c>
      <c r="AE448" s="153" t="s">
        <v>60</v>
      </c>
      <c r="AF448" s="159" t="s">
        <v>61</v>
      </c>
      <c r="AG448" s="159" t="s">
        <v>62</v>
      </c>
      <c r="AH448" s="159" t="s">
        <v>63</v>
      </c>
      <c r="AI448" s="159" t="s">
        <v>64</v>
      </c>
      <c r="AJ448" s="159" t="s">
        <v>64</v>
      </c>
      <c r="AK448" s="197" t="s">
        <v>64</v>
      </c>
      <c r="AL448" s="43"/>
      <c r="AM448" s="43"/>
      <c r="AN448" s="43"/>
      <c r="AO448" s="43"/>
    </row>
    <row r="449" spans="1:41" s="30" customFormat="1" ht="84.75" customHeight="1" thickBot="1" x14ac:dyDescent="0.25">
      <c r="A449" s="1"/>
      <c r="B449" s="196" t="s">
        <v>42</v>
      </c>
      <c r="C449" s="143">
        <v>1320</v>
      </c>
      <c r="D449" s="143" t="s">
        <v>150</v>
      </c>
      <c r="E449" s="143" t="s">
        <v>44</v>
      </c>
      <c r="F449" s="175" t="s">
        <v>111</v>
      </c>
      <c r="G449" s="175" t="s">
        <v>112</v>
      </c>
      <c r="H449" s="175" t="s">
        <v>1111</v>
      </c>
      <c r="I449" s="176">
        <v>8440000</v>
      </c>
      <c r="J449" s="177" t="s">
        <v>60</v>
      </c>
      <c r="K449" s="177" t="s">
        <v>48</v>
      </c>
      <c r="L449" s="178" t="s">
        <v>1112</v>
      </c>
      <c r="M449" s="143" t="s">
        <v>1113</v>
      </c>
      <c r="N449" s="145" t="str">
        <f t="shared" si="53"/>
        <v>Suministrar muros en cartón corrugado con impresión full color, en el marco de la Exposición temporal "Bell Hooks"</v>
      </c>
      <c r="O449" s="146">
        <v>10</v>
      </c>
      <c r="P449" s="146">
        <v>10</v>
      </c>
      <c r="Q449" s="147">
        <v>2</v>
      </c>
      <c r="R449" s="148" t="s">
        <v>51</v>
      </c>
      <c r="S449" s="149" t="s">
        <v>499</v>
      </c>
      <c r="T449" s="150" t="s">
        <v>53</v>
      </c>
      <c r="U449" s="151">
        <f t="shared" si="40"/>
        <v>8440000</v>
      </c>
      <c r="V449" s="152">
        <f t="shared" si="41"/>
        <v>8440000</v>
      </c>
      <c r="W449" s="153" t="s">
        <v>54</v>
      </c>
      <c r="X449" s="153" t="s">
        <v>55</v>
      </c>
      <c r="Y449" s="154" t="s">
        <v>56</v>
      </c>
      <c r="Z449" s="155" t="s">
        <v>57</v>
      </c>
      <c r="AA449" s="156" t="s">
        <v>42</v>
      </c>
      <c r="AB449" s="157" t="s">
        <v>58</v>
      </c>
      <c r="AC449" s="158" t="s">
        <v>59</v>
      </c>
      <c r="AD449" s="153" t="s">
        <v>54</v>
      </c>
      <c r="AE449" s="153" t="s">
        <v>60</v>
      </c>
      <c r="AF449" s="159" t="s">
        <v>61</v>
      </c>
      <c r="AG449" s="159" t="s">
        <v>62</v>
      </c>
      <c r="AH449" s="159" t="s">
        <v>63</v>
      </c>
      <c r="AI449" s="159" t="s">
        <v>64</v>
      </c>
      <c r="AJ449" s="159" t="s">
        <v>64</v>
      </c>
      <c r="AK449" s="197" t="s">
        <v>64</v>
      </c>
      <c r="AL449" s="42"/>
      <c r="AM449" s="42"/>
      <c r="AN449" s="42"/>
      <c r="AO449" s="42"/>
    </row>
    <row r="450" spans="1:41" s="30" customFormat="1" ht="84.75" customHeight="1" thickBot="1" x14ac:dyDescent="0.25">
      <c r="A450" s="1"/>
      <c r="B450" s="196" t="s">
        <v>42</v>
      </c>
      <c r="C450" s="143">
        <v>1640</v>
      </c>
      <c r="D450" s="143" t="s">
        <v>829</v>
      </c>
      <c r="E450" s="143" t="s">
        <v>830</v>
      </c>
      <c r="F450" s="175" t="s">
        <v>68</v>
      </c>
      <c r="G450" s="175" t="s">
        <v>1114</v>
      </c>
      <c r="H450" s="175" t="s">
        <v>1115</v>
      </c>
      <c r="I450" s="176">
        <v>10000000</v>
      </c>
      <c r="J450" s="177" t="s">
        <v>60</v>
      </c>
      <c r="K450" s="177" t="s">
        <v>48</v>
      </c>
      <c r="L450" s="178" t="s">
        <v>1116</v>
      </c>
      <c r="M450" s="143">
        <v>23181500</v>
      </c>
      <c r="N450" s="145" t="str">
        <f t="shared" si="53"/>
        <v>Adquirir bebederos de agua para los distintos espacios del Instituto Pedagógico Nacional (IPN), con el propósito de fomentar la hidratación adecuada y el bienestar de estudiantes y personal.</v>
      </c>
      <c r="O450" s="146">
        <v>10</v>
      </c>
      <c r="P450" s="146">
        <v>10</v>
      </c>
      <c r="Q450" s="147">
        <v>2</v>
      </c>
      <c r="R450" s="148" t="s">
        <v>51</v>
      </c>
      <c r="S450" s="149" t="s">
        <v>499</v>
      </c>
      <c r="T450" s="150" t="s">
        <v>282</v>
      </c>
      <c r="U450" s="151">
        <f t="shared" si="40"/>
        <v>10000000</v>
      </c>
      <c r="V450" s="152">
        <f t="shared" si="41"/>
        <v>10000000</v>
      </c>
      <c r="W450" s="153" t="s">
        <v>54</v>
      </c>
      <c r="X450" s="153" t="s">
        <v>55</v>
      </c>
      <c r="Y450" s="154" t="s">
        <v>56</v>
      </c>
      <c r="Z450" s="155" t="s">
        <v>57</v>
      </c>
      <c r="AA450" s="156" t="s">
        <v>42</v>
      </c>
      <c r="AB450" s="157" t="s">
        <v>58</v>
      </c>
      <c r="AC450" s="158" t="s">
        <v>59</v>
      </c>
      <c r="AD450" s="153" t="s">
        <v>54</v>
      </c>
      <c r="AE450" s="153" t="s">
        <v>60</v>
      </c>
      <c r="AF450" s="159" t="s">
        <v>61</v>
      </c>
      <c r="AG450" s="159" t="s">
        <v>62</v>
      </c>
      <c r="AH450" s="159" t="s">
        <v>63</v>
      </c>
      <c r="AI450" s="159" t="s">
        <v>64</v>
      </c>
      <c r="AJ450" s="159" t="s">
        <v>64</v>
      </c>
      <c r="AK450" s="197" t="s">
        <v>64</v>
      </c>
      <c r="AL450" s="42"/>
      <c r="AM450" s="42"/>
      <c r="AN450" s="42"/>
      <c r="AO450" s="42"/>
    </row>
    <row r="451" spans="1:41" s="30" customFormat="1" ht="84.75" customHeight="1" thickBot="1" x14ac:dyDescent="0.25">
      <c r="A451" s="1"/>
      <c r="B451" s="196" t="s">
        <v>42</v>
      </c>
      <c r="C451" s="143">
        <v>1640</v>
      </c>
      <c r="D451" s="143" t="s">
        <v>829</v>
      </c>
      <c r="E451" s="143" t="s">
        <v>830</v>
      </c>
      <c r="F451" s="175" t="s">
        <v>72</v>
      </c>
      <c r="G451" s="175" t="s">
        <v>1117</v>
      </c>
      <c r="H451" s="175" t="s">
        <v>1118</v>
      </c>
      <c r="I451" s="176">
        <v>6200000</v>
      </c>
      <c r="J451" s="177" t="s">
        <v>60</v>
      </c>
      <c r="K451" s="177" t="s">
        <v>48</v>
      </c>
      <c r="L451" s="178" t="s">
        <v>1119</v>
      </c>
      <c r="M451" s="145">
        <v>52141800</v>
      </c>
      <c r="N451" s="237" t="str">
        <f>H456</f>
        <v>Adquirir equipos, máquinas y elementos para el Instituto Pedagógico Nacional (IPN), con el fin de mejorar los recursos disponibles para la enseñanza y promover un aprendizaje más efectivo y significativo.</v>
      </c>
      <c r="O451" s="146">
        <v>10</v>
      </c>
      <c r="P451" s="146">
        <v>10</v>
      </c>
      <c r="Q451" s="147">
        <v>2</v>
      </c>
      <c r="R451" s="148" t="s">
        <v>51</v>
      </c>
      <c r="S451" s="149" t="s">
        <v>499</v>
      </c>
      <c r="T451" s="150" t="s">
        <v>282</v>
      </c>
      <c r="U451" s="151">
        <f t="shared" si="40"/>
        <v>6200000</v>
      </c>
      <c r="V451" s="152">
        <f t="shared" si="41"/>
        <v>6200000</v>
      </c>
      <c r="W451" s="153" t="s">
        <v>54</v>
      </c>
      <c r="X451" s="153" t="s">
        <v>55</v>
      </c>
      <c r="Y451" s="154" t="s">
        <v>56</v>
      </c>
      <c r="Z451" s="155" t="s">
        <v>57</v>
      </c>
      <c r="AA451" s="156" t="s">
        <v>42</v>
      </c>
      <c r="AB451" s="157" t="s">
        <v>58</v>
      </c>
      <c r="AC451" s="158" t="s">
        <v>59</v>
      </c>
      <c r="AD451" s="153" t="s">
        <v>54</v>
      </c>
      <c r="AE451" s="153" t="s">
        <v>60</v>
      </c>
      <c r="AF451" s="159" t="s">
        <v>61</v>
      </c>
      <c r="AG451" s="159" t="s">
        <v>62</v>
      </c>
      <c r="AH451" s="159" t="s">
        <v>63</v>
      </c>
      <c r="AI451" s="159" t="s">
        <v>64</v>
      </c>
      <c r="AJ451" s="159" t="s">
        <v>64</v>
      </c>
      <c r="AK451" s="197" t="s">
        <v>64</v>
      </c>
      <c r="AL451" s="42"/>
      <c r="AM451" s="42"/>
      <c r="AN451" s="42"/>
      <c r="AO451" s="42"/>
    </row>
    <row r="452" spans="1:41" s="30" customFormat="1" ht="84.75" customHeight="1" thickBot="1" x14ac:dyDescent="0.25">
      <c r="A452" s="1"/>
      <c r="B452" s="196" t="s">
        <v>42</v>
      </c>
      <c r="C452" s="143">
        <v>1640</v>
      </c>
      <c r="D452" s="143" t="s">
        <v>829</v>
      </c>
      <c r="E452" s="143" t="s">
        <v>830</v>
      </c>
      <c r="F452" s="175" t="s">
        <v>68</v>
      </c>
      <c r="G452" s="175" t="s">
        <v>1114</v>
      </c>
      <c r="H452" s="175" t="s">
        <v>1118</v>
      </c>
      <c r="I452" s="176">
        <v>610000</v>
      </c>
      <c r="J452" s="177" t="s">
        <v>60</v>
      </c>
      <c r="K452" s="177" t="s">
        <v>48</v>
      </c>
      <c r="L452" s="178" t="s">
        <v>1119</v>
      </c>
      <c r="M452" s="143">
        <v>44102910</v>
      </c>
      <c r="N452" s="237"/>
      <c r="O452" s="146">
        <v>10</v>
      </c>
      <c r="P452" s="146">
        <v>10</v>
      </c>
      <c r="Q452" s="147">
        <v>2</v>
      </c>
      <c r="R452" s="148" t="s">
        <v>51</v>
      </c>
      <c r="S452" s="149" t="s">
        <v>499</v>
      </c>
      <c r="T452" s="150" t="s">
        <v>282</v>
      </c>
      <c r="U452" s="151">
        <f t="shared" si="40"/>
        <v>610000</v>
      </c>
      <c r="V452" s="152">
        <f t="shared" si="41"/>
        <v>610000</v>
      </c>
      <c r="W452" s="153" t="s">
        <v>54</v>
      </c>
      <c r="X452" s="153" t="s">
        <v>55</v>
      </c>
      <c r="Y452" s="154" t="s">
        <v>56</v>
      </c>
      <c r="Z452" s="155" t="s">
        <v>57</v>
      </c>
      <c r="AA452" s="156" t="s">
        <v>42</v>
      </c>
      <c r="AB452" s="157" t="s">
        <v>58</v>
      </c>
      <c r="AC452" s="158" t="s">
        <v>59</v>
      </c>
      <c r="AD452" s="153" t="s">
        <v>54</v>
      </c>
      <c r="AE452" s="153" t="s">
        <v>60</v>
      </c>
      <c r="AF452" s="159" t="s">
        <v>61</v>
      </c>
      <c r="AG452" s="159" t="s">
        <v>62</v>
      </c>
      <c r="AH452" s="159" t="s">
        <v>63</v>
      </c>
      <c r="AI452" s="159" t="s">
        <v>64</v>
      </c>
      <c r="AJ452" s="159" t="s">
        <v>64</v>
      </c>
      <c r="AK452" s="197" t="s">
        <v>64</v>
      </c>
      <c r="AL452" s="42"/>
      <c r="AM452" s="42"/>
      <c r="AN452" s="42"/>
      <c r="AO452" s="42"/>
    </row>
    <row r="453" spans="1:41" s="30" customFormat="1" ht="84.75" customHeight="1" thickBot="1" x14ac:dyDescent="0.25">
      <c r="A453" s="1"/>
      <c r="B453" s="196" t="s">
        <v>42</v>
      </c>
      <c r="C453" s="143">
        <v>1640</v>
      </c>
      <c r="D453" s="143" t="s">
        <v>829</v>
      </c>
      <c r="E453" s="143" t="s">
        <v>830</v>
      </c>
      <c r="F453" s="175" t="s">
        <v>114</v>
      </c>
      <c r="G453" s="175" t="s">
        <v>792</v>
      </c>
      <c r="H453" s="175" t="s">
        <v>1118</v>
      </c>
      <c r="I453" s="176">
        <v>250000</v>
      </c>
      <c r="J453" s="177" t="s">
        <v>60</v>
      </c>
      <c r="K453" s="177" t="s">
        <v>48</v>
      </c>
      <c r="L453" s="178" t="s">
        <v>1119</v>
      </c>
      <c r="M453" s="143" t="s">
        <v>1120</v>
      </c>
      <c r="N453" s="237"/>
      <c r="O453" s="146">
        <v>10</v>
      </c>
      <c r="P453" s="146">
        <v>10</v>
      </c>
      <c r="Q453" s="147">
        <v>2</v>
      </c>
      <c r="R453" s="148" t="s">
        <v>51</v>
      </c>
      <c r="S453" s="149" t="s">
        <v>499</v>
      </c>
      <c r="T453" s="150" t="s">
        <v>282</v>
      </c>
      <c r="U453" s="151">
        <f t="shared" si="40"/>
        <v>250000</v>
      </c>
      <c r="V453" s="152">
        <f t="shared" si="41"/>
        <v>250000</v>
      </c>
      <c r="W453" s="153" t="s">
        <v>54</v>
      </c>
      <c r="X453" s="153" t="s">
        <v>55</v>
      </c>
      <c r="Y453" s="154" t="s">
        <v>56</v>
      </c>
      <c r="Z453" s="155" t="s">
        <v>57</v>
      </c>
      <c r="AA453" s="156" t="s">
        <v>42</v>
      </c>
      <c r="AB453" s="157" t="s">
        <v>58</v>
      </c>
      <c r="AC453" s="158" t="s">
        <v>59</v>
      </c>
      <c r="AD453" s="153" t="s">
        <v>54</v>
      </c>
      <c r="AE453" s="153" t="s">
        <v>60</v>
      </c>
      <c r="AF453" s="159" t="s">
        <v>61</v>
      </c>
      <c r="AG453" s="159" t="s">
        <v>62</v>
      </c>
      <c r="AH453" s="159" t="s">
        <v>63</v>
      </c>
      <c r="AI453" s="159" t="s">
        <v>64</v>
      </c>
      <c r="AJ453" s="159" t="s">
        <v>64</v>
      </c>
      <c r="AK453" s="197" t="s">
        <v>64</v>
      </c>
      <c r="AL453" s="42"/>
      <c r="AM453" s="42"/>
      <c r="AN453" s="42"/>
      <c r="AO453" s="42"/>
    </row>
    <row r="454" spans="1:41" s="30" customFormat="1" ht="84.75" customHeight="1" thickBot="1" x14ac:dyDescent="0.25">
      <c r="A454" s="1"/>
      <c r="B454" s="196" t="s">
        <v>42</v>
      </c>
      <c r="C454" s="143">
        <v>1640</v>
      </c>
      <c r="D454" s="143" t="s">
        <v>829</v>
      </c>
      <c r="E454" s="143" t="s">
        <v>830</v>
      </c>
      <c r="F454" s="175" t="s">
        <v>111</v>
      </c>
      <c r="G454" s="175" t="s">
        <v>112</v>
      </c>
      <c r="H454" s="175" t="s">
        <v>1118</v>
      </c>
      <c r="I454" s="176">
        <v>2500000</v>
      </c>
      <c r="J454" s="177" t="s">
        <v>60</v>
      </c>
      <c r="K454" s="177" t="s">
        <v>48</v>
      </c>
      <c r="L454" s="178" t="s">
        <v>1119</v>
      </c>
      <c r="M454" s="143">
        <v>49221500</v>
      </c>
      <c r="N454" s="237"/>
      <c r="O454" s="146">
        <v>10</v>
      </c>
      <c r="P454" s="146">
        <v>10</v>
      </c>
      <c r="Q454" s="147">
        <v>2</v>
      </c>
      <c r="R454" s="148" t="s">
        <v>51</v>
      </c>
      <c r="S454" s="149" t="s">
        <v>499</v>
      </c>
      <c r="T454" s="150" t="s">
        <v>282</v>
      </c>
      <c r="U454" s="151">
        <f t="shared" si="40"/>
        <v>2500000</v>
      </c>
      <c r="V454" s="152">
        <f t="shared" si="41"/>
        <v>2500000</v>
      </c>
      <c r="W454" s="153" t="s">
        <v>54</v>
      </c>
      <c r="X454" s="153" t="s">
        <v>55</v>
      </c>
      <c r="Y454" s="154" t="s">
        <v>56</v>
      </c>
      <c r="Z454" s="155" t="s">
        <v>57</v>
      </c>
      <c r="AA454" s="156" t="s">
        <v>42</v>
      </c>
      <c r="AB454" s="157" t="s">
        <v>58</v>
      </c>
      <c r="AC454" s="158" t="s">
        <v>59</v>
      </c>
      <c r="AD454" s="153" t="s">
        <v>54</v>
      </c>
      <c r="AE454" s="153" t="s">
        <v>60</v>
      </c>
      <c r="AF454" s="159" t="s">
        <v>61</v>
      </c>
      <c r="AG454" s="159" t="s">
        <v>62</v>
      </c>
      <c r="AH454" s="159" t="s">
        <v>63</v>
      </c>
      <c r="AI454" s="159" t="s">
        <v>64</v>
      </c>
      <c r="AJ454" s="159" t="s">
        <v>64</v>
      </c>
      <c r="AK454" s="197" t="s">
        <v>64</v>
      </c>
      <c r="AL454" s="42"/>
      <c r="AM454" s="42"/>
      <c r="AN454" s="42"/>
      <c r="AO454" s="42"/>
    </row>
    <row r="455" spans="1:41" s="30" customFormat="1" ht="84.75" customHeight="1" thickBot="1" x14ac:dyDescent="0.25">
      <c r="A455" s="1"/>
      <c r="B455" s="196" t="s">
        <v>42</v>
      </c>
      <c r="C455" s="143">
        <v>1640</v>
      </c>
      <c r="D455" s="143" t="s">
        <v>829</v>
      </c>
      <c r="E455" s="143" t="s">
        <v>830</v>
      </c>
      <c r="F455" s="175" t="s">
        <v>1121</v>
      </c>
      <c r="G455" s="175" t="s">
        <v>1122</v>
      </c>
      <c r="H455" s="175" t="s">
        <v>1118</v>
      </c>
      <c r="I455" s="176">
        <v>4500000</v>
      </c>
      <c r="J455" s="177" t="s">
        <v>60</v>
      </c>
      <c r="K455" s="177" t="s">
        <v>48</v>
      </c>
      <c r="L455" s="178" t="s">
        <v>1119</v>
      </c>
      <c r="M455" s="143">
        <v>45101506</v>
      </c>
      <c r="N455" s="237"/>
      <c r="O455" s="146">
        <v>10</v>
      </c>
      <c r="P455" s="146">
        <v>10</v>
      </c>
      <c r="Q455" s="147">
        <v>2</v>
      </c>
      <c r="R455" s="148" t="s">
        <v>51</v>
      </c>
      <c r="S455" s="149" t="s">
        <v>499</v>
      </c>
      <c r="T455" s="150" t="s">
        <v>282</v>
      </c>
      <c r="U455" s="151">
        <f t="shared" si="40"/>
        <v>4500000</v>
      </c>
      <c r="V455" s="152">
        <f t="shared" si="41"/>
        <v>4500000</v>
      </c>
      <c r="W455" s="153" t="s">
        <v>54</v>
      </c>
      <c r="X455" s="153" t="s">
        <v>55</v>
      </c>
      <c r="Y455" s="154" t="s">
        <v>56</v>
      </c>
      <c r="Z455" s="155" t="s">
        <v>57</v>
      </c>
      <c r="AA455" s="156" t="s">
        <v>42</v>
      </c>
      <c r="AB455" s="157" t="s">
        <v>58</v>
      </c>
      <c r="AC455" s="158" t="s">
        <v>59</v>
      </c>
      <c r="AD455" s="153" t="s">
        <v>54</v>
      </c>
      <c r="AE455" s="153" t="s">
        <v>60</v>
      </c>
      <c r="AF455" s="159" t="s">
        <v>61</v>
      </c>
      <c r="AG455" s="159" t="s">
        <v>62</v>
      </c>
      <c r="AH455" s="159" t="s">
        <v>63</v>
      </c>
      <c r="AI455" s="159" t="s">
        <v>64</v>
      </c>
      <c r="AJ455" s="159" t="s">
        <v>64</v>
      </c>
      <c r="AK455" s="197" t="s">
        <v>64</v>
      </c>
      <c r="AL455" s="42"/>
      <c r="AM455" s="42"/>
      <c r="AN455" s="42"/>
      <c r="AO455" s="42"/>
    </row>
    <row r="456" spans="1:41" s="30" customFormat="1" ht="84.75" customHeight="1" thickBot="1" x14ac:dyDescent="0.25">
      <c r="A456" s="1"/>
      <c r="B456" s="196" t="s">
        <v>42</v>
      </c>
      <c r="C456" s="143">
        <v>1640</v>
      </c>
      <c r="D456" s="143" t="s">
        <v>829</v>
      </c>
      <c r="E456" s="143" t="s">
        <v>830</v>
      </c>
      <c r="F456" s="175" t="s">
        <v>1005</v>
      </c>
      <c r="G456" s="175" t="s">
        <v>1017</v>
      </c>
      <c r="H456" s="175" t="s">
        <v>1118</v>
      </c>
      <c r="I456" s="176">
        <v>2000000</v>
      </c>
      <c r="J456" s="177" t="s">
        <v>60</v>
      </c>
      <c r="K456" s="177" t="s">
        <v>48</v>
      </c>
      <c r="L456" s="178" t="s">
        <v>1119</v>
      </c>
      <c r="M456" s="143">
        <v>23242300</v>
      </c>
      <c r="N456" s="237"/>
      <c r="O456" s="146">
        <v>10</v>
      </c>
      <c r="P456" s="146">
        <v>10</v>
      </c>
      <c r="Q456" s="147">
        <v>2</v>
      </c>
      <c r="R456" s="148" t="s">
        <v>51</v>
      </c>
      <c r="S456" s="149" t="s">
        <v>499</v>
      </c>
      <c r="T456" s="150" t="s">
        <v>282</v>
      </c>
      <c r="U456" s="151">
        <f t="shared" si="40"/>
        <v>2000000</v>
      </c>
      <c r="V456" s="152">
        <f t="shared" si="41"/>
        <v>2000000</v>
      </c>
      <c r="W456" s="153" t="s">
        <v>54</v>
      </c>
      <c r="X456" s="153" t="s">
        <v>55</v>
      </c>
      <c r="Y456" s="154" t="s">
        <v>56</v>
      </c>
      <c r="Z456" s="155" t="s">
        <v>57</v>
      </c>
      <c r="AA456" s="156" t="s">
        <v>42</v>
      </c>
      <c r="AB456" s="157" t="s">
        <v>58</v>
      </c>
      <c r="AC456" s="158" t="s">
        <v>59</v>
      </c>
      <c r="AD456" s="153" t="s">
        <v>54</v>
      </c>
      <c r="AE456" s="153" t="s">
        <v>60</v>
      </c>
      <c r="AF456" s="159" t="s">
        <v>61</v>
      </c>
      <c r="AG456" s="159" t="s">
        <v>62</v>
      </c>
      <c r="AH456" s="159" t="s">
        <v>63</v>
      </c>
      <c r="AI456" s="159" t="s">
        <v>64</v>
      </c>
      <c r="AJ456" s="159" t="s">
        <v>64</v>
      </c>
      <c r="AK456" s="197" t="s">
        <v>64</v>
      </c>
      <c r="AL456" s="42"/>
      <c r="AM456" s="42"/>
      <c r="AN456" s="42"/>
      <c r="AO456" s="42"/>
    </row>
    <row r="457" spans="1:41" s="30" customFormat="1" ht="84.75" customHeight="1" thickBot="1" x14ac:dyDescent="0.25">
      <c r="A457" s="1"/>
      <c r="B457" s="196" t="s">
        <v>42</v>
      </c>
      <c r="C457" s="143">
        <v>1640</v>
      </c>
      <c r="D457" s="143" t="s">
        <v>829</v>
      </c>
      <c r="E457" s="143" t="s">
        <v>830</v>
      </c>
      <c r="F457" s="175" t="s">
        <v>72</v>
      </c>
      <c r="G457" s="175" t="s">
        <v>1117</v>
      </c>
      <c r="H457" s="175" t="s">
        <v>1123</v>
      </c>
      <c r="I457" s="176">
        <v>2700000</v>
      </c>
      <c r="J457" s="177" t="s">
        <v>60</v>
      </c>
      <c r="K457" s="177" t="s">
        <v>48</v>
      </c>
      <c r="L457" s="178" t="s">
        <v>1124</v>
      </c>
      <c r="M457" s="143">
        <v>23181500</v>
      </c>
      <c r="N457" s="237" t="str">
        <f>H459</f>
        <v>Adquirir equipos y elementos para los talleres de la Sección de Aprendizajes Inclusivos y Ocupacionales, para  promover un entorno inclusivo que favorezca el desarrollo integral de la comunidad del Instituto Pedagógico Nacional (IPN)</v>
      </c>
      <c r="O457" s="146">
        <v>10</v>
      </c>
      <c r="P457" s="146">
        <v>10</v>
      </c>
      <c r="Q457" s="147">
        <v>2</v>
      </c>
      <c r="R457" s="148" t="s">
        <v>51</v>
      </c>
      <c r="S457" s="149" t="s">
        <v>499</v>
      </c>
      <c r="T457" s="150" t="s">
        <v>282</v>
      </c>
      <c r="U457" s="151">
        <f t="shared" si="40"/>
        <v>2700000</v>
      </c>
      <c r="V457" s="152">
        <f t="shared" si="41"/>
        <v>2700000</v>
      </c>
      <c r="W457" s="153" t="s">
        <v>54</v>
      </c>
      <c r="X457" s="153" t="s">
        <v>55</v>
      </c>
      <c r="Y457" s="154" t="s">
        <v>56</v>
      </c>
      <c r="Z457" s="155" t="s">
        <v>57</v>
      </c>
      <c r="AA457" s="156" t="s">
        <v>42</v>
      </c>
      <c r="AB457" s="157" t="s">
        <v>58</v>
      </c>
      <c r="AC457" s="158" t="s">
        <v>59</v>
      </c>
      <c r="AD457" s="153" t="s">
        <v>54</v>
      </c>
      <c r="AE457" s="153" t="s">
        <v>60</v>
      </c>
      <c r="AF457" s="159" t="s">
        <v>61</v>
      </c>
      <c r="AG457" s="159" t="s">
        <v>62</v>
      </c>
      <c r="AH457" s="159" t="s">
        <v>63</v>
      </c>
      <c r="AI457" s="159" t="s">
        <v>64</v>
      </c>
      <c r="AJ457" s="159" t="s">
        <v>64</v>
      </c>
      <c r="AK457" s="197" t="s">
        <v>64</v>
      </c>
      <c r="AL457" s="42"/>
      <c r="AM457" s="42"/>
      <c r="AN457" s="42"/>
      <c r="AO457" s="42"/>
    </row>
    <row r="458" spans="1:41" s="30" customFormat="1" ht="84.75" customHeight="1" thickBot="1" x14ac:dyDescent="0.25">
      <c r="A458" s="1"/>
      <c r="B458" s="196" t="s">
        <v>42</v>
      </c>
      <c r="C458" s="143">
        <v>1640</v>
      </c>
      <c r="D458" s="143" t="s">
        <v>829</v>
      </c>
      <c r="E458" s="143" t="s">
        <v>830</v>
      </c>
      <c r="F458" s="175" t="s">
        <v>68</v>
      </c>
      <c r="G458" s="175" t="s">
        <v>1114</v>
      </c>
      <c r="H458" s="175" t="s">
        <v>1123</v>
      </c>
      <c r="I458" s="176">
        <v>1600000</v>
      </c>
      <c r="J458" s="177" t="s">
        <v>60</v>
      </c>
      <c r="K458" s="177" t="s">
        <v>48</v>
      </c>
      <c r="L458" s="178" t="s">
        <v>1124</v>
      </c>
      <c r="M458" s="143">
        <v>44101804</v>
      </c>
      <c r="N458" s="237"/>
      <c r="O458" s="146">
        <v>10</v>
      </c>
      <c r="P458" s="146">
        <v>10</v>
      </c>
      <c r="Q458" s="147">
        <v>2</v>
      </c>
      <c r="R458" s="148" t="s">
        <v>51</v>
      </c>
      <c r="S458" s="149" t="s">
        <v>499</v>
      </c>
      <c r="T458" s="150" t="s">
        <v>282</v>
      </c>
      <c r="U458" s="151">
        <f t="shared" si="40"/>
        <v>1600000</v>
      </c>
      <c r="V458" s="152">
        <f t="shared" si="41"/>
        <v>1600000</v>
      </c>
      <c r="W458" s="153" t="s">
        <v>54</v>
      </c>
      <c r="X458" s="153" t="s">
        <v>55</v>
      </c>
      <c r="Y458" s="154" t="s">
        <v>56</v>
      </c>
      <c r="Z458" s="155" t="s">
        <v>57</v>
      </c>
      <c r="AA458" s="156" t="s">
        <v>42</v>
      </c>
      <c r="AB458" s="157" t="s">
        <v>58</v>
      </c>
      <c r="AC458" s="158" t="s">
        <v>59</v>
      </c>
      <c r="AD458" s="153" t="s">
        <v>54</v>
      </c>
      <c r="AE458" s="153" t="s">
        <v>60</v>
      </c>
      <c r="AF458" s="159" t="s">
        <v>61</v>
      </c>
      <c r="AG458" s="159" t="s">
        <v>62</v>
      </c>
      <c r="AH458" s="159" t="s">
        <v>63</v>
      </c>
      <c r="AI458" s="159" t="s">
        <v>64</v>
      </c>
      <c r="AJ458" s="159" t="s">
        <v>64</v>
      </c>
      <c r="AK458" s="197" t="s">
        <v>64</v>
      </c>
      <c r="AL458" s="42"/>
      <c r="AM458" s="42"/>
      <c r="AN458" s="42"/>
      <c r="AO458" s="42"/>
    </row>
    <row r="459" spans="1:41" s="30" customFormat="1" ht="84.75" customHeight="1" thickBot="1" x14ac:dyDescent="0.25">
      <c r="A459" s="1"/>
      <c r="B459" s="196" t="s">
        <v>42</v>
      </c>
      <c r="C459" s="143">
        <v>1640</v>
      </c>
      <c r="D459" s="143" t="s">
        <v>829</v>
      </c>
      <c r="E459" s="143" t="s">
        <v>830</v>
      </c>
      <c r="F459" s="175" t="s">
        <v>114</v>
      </c>
      <c r="G459" s="175" t="s">
        <v>792</v>
      </c>
      <c r="H459" s="175" t="s">
        <v>1123</v>
      </c>
      <c r="I459" s="176">
        <v>1050000</v>
      </c>
      <c r="J459" s="177" t="s">
        <v>60</v>
      </c>
      <c r="K459" s="177" t="s">
        <v>48</v>
      </c>
      <c r="L459" s="178" t="s">
        <v>1124</v>
      </c>
      <c r="M459" s="143">
        <v>23181500</v>
      </c>
      <c r="N459" s="237"/>
      <c r="O459" s="146">
        <v>10</v>
      </c>
      <c r="P459" s="146">
        <v>10</v>
      </c>
      <c r="Q459" s="147">
        <v>2</v>
      </c>
      <c r="R459" s="148" t="s">
        <v>51</v>
      </c>
      <c r="S459" s="149" t="s">
        <v>499</v>
      </c>
      <c r="T459" s="150" t="s">
        <v>282</v>
      </c>
      <c r="U459" s="151">
        <f t="shared" si="40"/>
        <v>1050000</v>
      </c>
      <c r="V459" s="152">
        <f t="shared" si="41"/>
        <v>1050000</v>
      </c>
      <c r="W459" s="153" t="s">
        <v>54</v>
      </c>
      <c r="X459" s="153" t="s">
        <v>55</v>
      </c>
      <c r="Y459" s="154" t="s">
        <v>56</v>
      </c>
      <c r="Z459" s="155" t="s">
        <v>57</v>
      </c>
      <c r="AA459" s="156" t="s">
        <v>42</v>
      </c>
      <c r="AB459" s="157" t="s">
        <v>58</v>
      </c>
      <c r="AC459" s="158" t="s">
        <v>59</v>
      </c>
      <c r="AD459" s="153" t="s">
        <v>54</v>
      </c>
      <c r="AE459" s="153" t="s">
        <v>60</v>
      </c>
      <c r="AF459" s="159" t="s">
        <v>61</v>
      </c>
      <c r="AG459" s="159" t="s">
        <v>62</v>
      </c>
      <c r="AH459" s="159" t="s">
        <v>63</v>
      </c>
      <c r="AI459" s="159" t="s">
        <v>64</v>
      </c>
      <c r="AJ459" s="159" t="s">
        <v>64</v>
      </c>
      <c r="AK459" s="197" t="s">
        <v>64</v>
      </c>
      <c r="AL459" s="42"/>
      <c r="AM459" s="42"/>
      <c r="AN459" s="42"/>
      <c r="AO459" s="42"/>
    </row>
    <row r="460" spans="1:41" s="30" customFormat="1" ht="84.75" customHeight="1" thickBot="1" x14ac:dyDescent="0.25">
      <c r="A460" s="1"/>
      <c r="B460" s="196" t="s">
        <v>42</v>
      </c>
      <c r="C460" s="143">
        <v>1640</v>
      </c>
      <c r="D460" s="143" t="s">
        <v>829</v>
      </c>
      <c r="E460" s="143" t="s">
        <v>830</v>
      </c>
      <c r="F460" s="175" t="s">
        <v>111</v>
      </c>
      <c r="G460" s="175" t="s">
        <v>112</v>
      </c>
      <c r="H460" s="175" t="s">
        <v>1125</v>
      </c>
      <c r="I460" s="176">
        <v>3200000</v>
      </c>
      <c r="J460" s="177" t="s">
        <v>60</v>
      </c>
      <c r="K460" s="177" t="s">
        <v>48</v>
      </c>
      <c r="L460" s="178" t="s">
        <v>1126</v>
      </c>
      <c r="M460" s="143">
        <v>25172608</v>
      </c>
      <c r="N460" s="145" t="str">
        <f t="shared" si="53"/>
        <v>Adquirir tableros acrílicos para ser instalados en el Instituto Pedagógico Nacional (IPN), y así mejorar el ambiente de enseñanza y facilitar la interacción en las actividades académicas.</v>
      </c>
      <c r="O460" s="146">
        <v>10</v>
      </c>
      <c r="P460" s="146">
        <v>10</v>
      </c>
      <c r="Q460" s="147">
        <v>2</v>
      </c>
      <c r="R460" s="148" t="s">
        <v>51</v>
      </c>
      <c r="S460" s="149" t="s">
        <v>499</v>
      </c>
      <c r="T460" s="150" t="s">
        <v>282</v>
      </c>
      <c r="U460" s="151">
        <f t="shared" si="40"/>
        <v>3200000</v>
      </c>
      <c r="V460" s="152">
        <f t="shared" si="41"/>
        <v>3200000</v>
      </c>
      <c r="W460" s="153" t="s">
        <v>54</v>
      </c>
      <c r="X460" s="153" t="s">
        <v>55</v>
      </c>
      <c r="Y460" s="154" t="s">
        <v>56</v>
      </c>
      <c r="Z460" s="155" t="s">
        <v>57</v>
      </c>
      <c r="AA460" s="156" t="s">
        <v>42</v>
      </c>
      <c r="AB460" s="157" t="s">
        <v>58</v>
      </c>
      <c r="AC460" s="158" t="s">
        <v>59</v>
      </c>
      <c r="AD460" s="153" t="s">
        <v>54</v>
      </c>
      <c r="AE460" s="153" t="s">
        <v>60</v>
      </c>
      <c r="AF460" s="159" t="s">
        <v>61</v>
      </c>
      <c r="AG460" s="159" t="s">
        <v>62</v>
      </c>
      <c r="AH460" s="159" t="s">
        <v>63</v>
      </c>
      <c r="AI460" s="159" t="s">
        <v>64</v>
      </c>
      <c r="AJ460" s="159" t="s">
        <v>64</v>
      </c>
      <c r="AK460" s="197" t="s">
        <v>64</v>
      </c>
      <c r="AL460" s="42"/>
      <c r="AM460" s="42"/>
      <c r="AN460" s="42"/>
      <c r="AO460" s="42"/>
    </row>
    <row r="461" spans="1:41" s="30" customFormat="1" ht="84.75" customHeight="1" thickBot="1" x14ac:dyDescent="0.25">
      <c r="A461" s="1"/>
      <c r="B461" s="196" t="s">
        <v>42</v>
      </c>
      <c r="C461" s="143">
        <v>1640</v>
      </c>
      <c r="D461" s="143" t="s">
        <v>829</v>
      </c>
      <c r="E461" s="143" t="s">
        <v>830</v>
      </c>
      <c r="F461" s="175" t="s">
        <v>111</v>
      </c>
      <c r="G461" s="175" t="s">
        <v>112</v>
      </c>
      <c r="H461" s="175" t="s">
        <v>1127</v>
      </c>
      <c r="I461" s="176">
        <v>8230000</v>
      </c>
      <c r="J461" s="177" t="s">
        <v>60</v>
      </c>
      <c r="K461" s="177" t="s">
        <v>48</v>
      </c>
      <c r="L461" s="178" t="s">
        <v>1128</v>
      </c>
      <c r="M461" s="145" t="s">
        <v>1129</v>
      </c>
      <c r="N461" s="237" t="s">
        <v>1127</v>
      </c>
      <c r="O461" s="146">
        <v>10</v>
      </c>
      <c r="P461" s="146">
        <v>10</v>
      </c>
      <c r="Q461" s="147">
        <v>2</v>
      </c>
      <c r="R461" s="148" t="s">
        <v>51</v>
      </c>
      <c r="S461" s="149" t="s">
        <v>499</v>
      </c>
      <c r="T461" s="150" t="s">
        <v>282</v>
      </c>
      <c r="U461" s="151">
        <f t="shared" si="40"/>
        <v>8230000</v>
      </c>
      <c r="V461" s="152">
        <f t="shared" si="41"/>
        <v>8230000</v>
      </c>
      <c r="W461" s="153" t="s">
        <v>54</v>
      </c>
      <c r="X461" s="153" t="s">
        <v>55</v>
      </c>
      <c r="Y461" s="154" t="s">
        <v>56</v>
      </c>
      <c r="Z461" s="155" t="s">
        <v>57</v>
      </c>
      <c r="AA461" s="156" t="s">
        <v>42</v>
      </c>
      <c r="AB461" s="157" t="s">
        <v>58</v>
      </c>
      <c r="AC461" s="158" t="s">
        <v>59</v>
      </c>
      <c r="AD461" s="153" t="s">
        <v>54</v>
      </c>
      <c r="AE461" s="153" t="s">
        <v>60</v>
      </c>
      <c r="AF461" s="159" t="s">
        <v>61</v>
      </c>
      <c r="AG461" s="159" t="s">
        <v>62</v>
      </c>
      <c r="AH461" s="159" t="s">
        <v>63</v>
      </c>
      <c r="AI461" s="159" t="s">
        <v>64</v>
      </c>
      <c r="AJ461" s="159" t="s">
        <v>64</v>
      </c>
      <c r="AK461" s="197" t="s">
        <v>64</v>
      </c>
      <c r="AL461" s="42"/>
      <c r="AM461" s="42"/>
      <c r="AN461" s="42"/>
      <c r="AO461" s="42"/>
    </row>
    <row r="462" spans="1:41" s="30" customFormat="1" ht="84.75" customHeight="1" thickBot="1" x14ac:dyDescent="0.25">
      <c r="A462" s="1"/>
      <c r="B462" s="196" t="s">
        <v>42</v>
      </c>
      <c r="C462" s="143">
        <v>1640</v>
      </c>
      <c r="D462" s="143" t="s">
        <v>829</v>
      </c>
      <c r="E462" s="143" t="s">
        <v>830</v>
      </c>
      <c r="F462" s="175" t="s">
        <v>114</v>
      </c>
      <c r="G462" s="175" t="s">
        <v>792</v>
      </c>
      <c r="H462" s="175" t="s">
        <v>1127</v>
      </c>
      <c r="I462" s="176">
        <v>2520000</v>
      </c>
      <c r="J462" s="177" t="s">
        <v>60</v>
      </c>
      <c r="K462" s="177" t="s">
        <v>48</v>
      </c>
      <c r="L462" s="178" t="s">
        <v>1128</v>
      </c>
      <c r="M462" s="145">
        <v>60102500</v>
      </c>
      <c r="N462" s="237"/>
      <c r="O462" s="146">
        <v>10</v>
      </c>
      <c r="P462" s="146">
        <v>10</v>
      </c>
      <c r="Q462" s="147">
        <v>2</v>
      </c>
      <c r="R462" s="148" t="s">
        <v>51</v>
      </c>
      <c r="S462" s="149" t="s">
        <v>499</v>
      </c>
      <c r="T462" s="150" t="s">
        <v>282</v>
      </c>
      <c r="U462" s="151">
        <f t="shared" si="40"/>
        <v>2520000</v>
      </c>
      <c r="V462" s="152">
        <f t="shared" si="41"/>
        <v>2520000</v>
      </c>
      <c r="W462" s="153" t="s">
        <v>54</v>
      </c>
      <c r="X462" s="153" t="s">
        <v>55</v>
      </c>
      <c r="Y462" s="154" t="s">
        <v>56</v>
      </c>
      <c r="Z462" s="155" t="s">
        <v>57</v>
      </c>
      <c r="AA462" s="156" t="s">
        <v>42</v>
      </c>
      <c r="AB462" s="157" t="s">
        <v>58</v>
      </c>
      <c r="AC462" s="158" t="s">
        <v>59</v>
      </c>
      <c r="AD462" s="153" t="s">
        <v>54</v>
      </c>
      <c r="AE462" s="153" t="s">
        <v>60</v>
      </c>
      <c r="AF462" s="159" t="s">
        <v>61</v>
      </c>
      <c r="AG462" s="159" t="s">
        <v>62</v>
      </c>
      <c r="AH462" s="159" t="s">
        <v>63</v>
      </c>
      <c r="AI462" s="159" t="s">
        <v>64</v>
      </c>
      <c r="AJ462" s="159" t="s">
        <v>64</v>
      </c>
      <c r="AK462" s="197" t="s">
        <v>64</v>
      </c>
      <c r="AL462" s="42"/>
      <c r="AM462" s="42"/>
      <c r="AN462" s="42"/>
      <c r="AO462" s="42"/>
    </row>
    <row r="463" spans="1:41" ht="84.75" customHeight="1" thickBot="1" x14ac:dyDescent="0.25">
      <c r="B463" s="196" t="s">
        <v>240</v>
      </c>
      <c r="C463" s="143">
        <v>1330</v>
      </c>
      <c r="D463" s="143" t="s">
        <v>611</v>
      </c>
      <c r="E463" s="143" t="s">
        <v>616</v>
      </c>
      <c r="F463" s="175" t="s">
        <v>725</v>
      </c>
      <c r="G463" s="175" t="s">
        <v>1130</v>
      </c>
      <c r="H463" s="175" t="s">
        <v>1131</v>
      </c>
      <c r="I463" s="176">
        <v>10790270</v>
      </c>
      <c r="J463" s="177" t="s">
        <v>60</v>
      </c>
      <c r="K463" s="177" t="s">
        <v>48</v>
      </c>
      <c r="L463" s="178" t="s">
        <v>1132</v>
      </c>
      <c r="M463" s="238" t="s">
        <v>631</v>
      </c>
      <c r="N463" s="237" t="s">
        <v>1131</v>
      </c>
      <c r="O463" s="146">
        <v>10</v>
      </c>
      <c r="P463" s="146">
        <v>10</v>
      </c>
      <c r="Q463" s="147">
        <v>2</v>
      </c>
      <c r="R463" s="148" t="s">
        <v>51</v>
      </c>
      <c r="S463" s="149" t="s">
        <v>637</v>
      </c>
      <c r="T463" s="150" t="s">
        <v>53</v>
      </c>
      <c r="U463" s="151">
        <f t="shared" si="40"/>
        <v>10790270</v>
      </c>
      <c r="V463" s="152">
        <f t="shared" si="41"/>
        <v>10790270</v>
      </c>
      <c r="W463" s="153" t="s">
        <v>54</v>
      </c>
      <c r="X463" s="153" t="s">
        <v>55</v>
      </c>
      <c r="Y463" s="154" t="s">
        <v>56</v>
      </c>
      <c r="Z463" s="155" t="s">
        <v>57</v>
      </c>
      <c r="AA463" s="156" t="s">
        <v>240</v>
      </c>
      <c r="AB463" s="157" t="s">
        <v>58</v>
      </c>
      <c r="AC463" s="158" t="s">
        <v>59</v>
      </c>
      <c r="AD463" s="153" t="s">
        <v>54</v>
      </c>
      <c r="AE463" s="153" t="s">
        <v>60</v>
      </c>
      <c r="AF463" s="159" t="s">
        <v>61</v>
      </c>
      <c r="AG463" s="159" t="s">
        <v>62</v>
      </c>
      <c r="AH463" s="159" t="s">
        <v>63</v>
      </c>
      <c r="AI463" s="159" t="s">
        <v>64</v>
      </c>
      <c r="AJ463" s="159" t="s">
        <v>64</v>
      </c>
      <c r="AK463" s="197" t="s">
        <v>64</v>
      </c>
    </row>
    <row r="464" spans="1:41" ht="84.75" customHeight="1" thickBot="1" x14ac:dyDescent="0.25">
      <c r="B464" s="196" t="s">
        <v>240</v>
      </c>
      <c r="C464" s="143">
        <v>1330</v>
      </c>
      <c r="D464" s="143" t="s">
        <v>611</v>
      </c>
      <c r="E464" s="143" t="s">
        <v>616</v>
      </c>
      <c r="F464" s="175" t="s">
        <v>128</v>
      </c>
      <c r="G464" s="175" t="s">
        <v>129</v>
      </c>
      <c r="H464" s="175" t="s">
        <v>1131</v>
      </c>
      <c r="I464" s="176">
        <v>3718450</v>
      </c>
      <c r="J464" s="177" t="s">
        <v>60</v>
      </c>
      <c r="K464" s="177" t="s">
        <v>48</v>
      </c>
      <c r="L464" s="178"/>
      <c r="M464" s="238"/>
      <c r="N464" s="237"/>
      <c r="O464" s="146">
        <v>10</v>
      </c>
      <c r="P464" s="146">
        <v>10</v>
      </c>
      <c r="Q464" s="147">
        <v>2</v>
      </c>
      <c r="R464" s="148" t="s">
        <v>51</v>
      </c>
      <c r="S464" s="149" t="s">
        <v>637</v>
      </c>
      <c r="T464" s="150" t="s">
        <v>53</v>
      </c>
      <c r="U464" s="151">
        <f t="shared" si="40"/>
        <v>3718450</v>
      </c>
      <c r="V464" s="152">
        <f t="shared" si="41"/>
        <v>3718450</v>
      </c>
      <c r="W464" s="153" t="s">
        <v>54</v>
      </c>
      <c r="X464" s="153" t="s">
        <v>55</v>
      </c>
      <c r="Y464" s="154" t="s">
        <v>56</v>
      </c>
      <c r="Z464" s="155" t="s">
        <v>57</v>
      </c>
      <c r="AA464" s="156" t="s">
        <v>240</v>
      </c>
      <c r="AB464" s="157" t="s">
        <v>58</v>
      </c>
      <c r="AC464" s="158" t="s">
        <v>59</v>
      </c>
      <c r="AD464" s="153" t="s">
        <v>54</v>
      </c>
      <c r="AE464" s="153" t="s">
        <v>60</v>
      </c>
      <c r="AF464" s="159" t="s">
        <v>61</v>
      </c>
      <c r="AG464" s="159" t="s">
        <v>62</v>
      </c>
      <c r="AH464" s="159" t="s">
        <v>63</v>
      </c>
      <c r="AI464" s="159" t="s">
        <v>64</v>
      </c>
      <c r="AJ464" s="159" t="s">
        <v>64</v>
      </c>
      <c r="AK464" s="197" t="s">
        <v>64</v>
      </c>
    </row>
    <row r="465" spans="1:41" ht="84.75" customHeight="1" thickBot="1" x14ac:dyDescent="0.25">
      <c r="B465" s="196" t="s">
        <v>240</v>
      </c>
      <c r="C465" s="143">
        <v>1330</v>
      </c>
      <c r="D465" s="143" t="s">
        <v>611</v>
      </c>
      <c r="E465" s="143" t="s">
        <v>616</v>
      </c>
      <c r="F465" s="175" t="s">
        <v>160</v>
      </c>
      <c r="G465" s="175" t="s">
        <v>1133</v>
      </c>
      <c r="H465" s="175" t="s">
        <v>1131</v>
      </c>
      <c r="I465" s="176">
        <v>852750</v>
      </c>
      <c r="J465" s="177" t="s">
        <v>60</v>
      </c>
      <c r="K465" s="177" t="s">
        <v>48</v>
      </c>
      <c r="L465" s="178"/>
      <c r="M465" s="238"/>
      <c r="N465" s="237"/>
      <c r="O465" s="146">
        <v>10</v>
      </c>
      <c r="P465" s="146">
        <v>10</v>
      </c>
      <c r="Q465" s="147">
        <v>2</v>
      </c>
      <c r="R465" s="148" t="s">
        <v>51</v>
      </c>
      <c r="S465" s="149" t="s">
        <v>637</v>
      </c>
      <c r="T465" s="150" t="s">
        <v>53</v>
      </c>
      <c r="U465" s="151">
        <f t="shared" si="40"/>
        <v>852750</v>
      </c>
      <c r="V465" s="152">
        <f t="shared" si="41"/>
        <v>852750</v>
      </c>
      <c r="W465" s="153" t="s">
        <v>54</v>
      </c>
      <c r="X465" s="153" t="s">
        <v>55</v>
      </c>
      <c r="Y465" s="154" t="s">
        <v>56</v>
      </c>
      <c r="Z465" s="155" t="s">
        <v>57</v>
      </c>
      <c r="AA465" s="156" t="s">
        <v>240</v>
      </c>
      <c r="AB465" s="157" t="s">
        <v>58</v>
      </c>
      <c r="AC465" s="158" t="s">
        <v>59</v>
      </c>
      <c r="AD465" s="153" t="s">
        <v>54</v>
      </c>
      <c r="AE465" s="153" t="s">
        <v>60</v>
      </c>
      <c r="AF465" s="159" t="s">
        <v>61</v>
      </c>
      <c r="AG465" s="159" t="s">
        <v>62</v>
      </c>
      <c r="AH465" s="159" t="s">
        <v>63</v>
      </c>
      <c r="AI465" s="159" t="s">
        <v>64</v>
      </c>
      <c r="AJ465" s="159" t="s">
        <v>64</v>
      </c>
      <c r="AK465" s="197" t="s">
        <v>64</v>
      </c>
    </row>
    <row r="466" spans="1:41" ht="84.75" customHeight="1" thickBot="1" x14ac:dyDescent="0.25">
      <c r="B466" s="196" t="s">
        <v>240</v>
      </c>
      <c r="C466" s="143">
        <v>1330</v>
      </c>
      <c r="D466" s="143" t="s">
        <v>611</v>
      </c>
      <c r="E466" s="143" t="s">
        <v>616</v>
      </c>
      <c r="F466" s="175" t="s">
        <v>760</v>
      </c>
      <c r="G466" s="175" t="s">
        <v>1134</v>
      </c>
      <c r="H466" s="175" t="s">
        <v>1131</v>
      </c>
      <c r="I466" s="176">
        <v>1748000</v>
      </c>
      <c r="J466" s="177" t="s">
        <v>60</v>
      </c>
      <c r="K466" s="177" t="s">
        <v>48</v>
      </c>
      <c r="L466" s="178"/>
      <c r="M466" s="238"/>
      <c r="N466" s="237"/>
      <c r="O466" s="146">
        <v>10</v>
      </c>
      <c r="P466" s="146">
        <v>10</v>
      </c>
      <c r="Q466" s="147">
        <v>2</v>
      </c>
      <c r="R466" s="148" t="s">
        <v>51</v>
      </c>
      <c r="S466" s="149" t="s">
        <v>637</v>
      </c>
      <c r="T466" s="150" t="s">
        <v>53</v>
      </c>
      <c r="U466" s="151">
        <f t="shared" si="40"/>
        <v>1748000</v>
      </c>
      <c r="V466" s="152">
        <f t="shared" si="41"/>
        <v>1748000</v>
      </c>
      <c r="W466" s="153" t="s">
        <v>54</v>
      </c>
      <c r="X466" s="153" t="s">
        <v>55</v>
      </c>
      <c r="Y466" s="154" t="s">
        <v>56</v>
      </c>
      <c r="Z466" s="155" t="s">
        <v>57</v>
      </c>
      <c r="AA466" s="156" t="s">
        <v>240</v>
      </c>
      <c r="AB466" s="157" t="s">
        <v>58</v>
      </c>
      <c r="AC466" s="158" t="s">
        <v>59</v>
      </c>
      <c r="AD466" s="153" t="s">
        <v>54</v>
      </c>
      <c r="AE466" s="153" t="s">
        <v>60</v>
      </c>
      <c r="AF466" s="159" t="s">
        <v>61</v>
      </c>
      <c r="AG466" s="159" t="s">
        <v>62</v>
      </c>
      <c r="AH466" s="159" t="s">
        <v>63</v>
      </c>
      <c r="AI466" s="159" t="s">
        <v>64</v>
      </c>
      <c r="AJ466" s="159" t="s">
        <v>64</v>
      </c>
      <c r="AK466" s="197" t="s">
        <v>64</v>
      </c>
    </row>
    <row r="467" spans="1:41" s="30" customFormat="1" ht="84.75" customHeight="1" thickBot="1" x14ac:dyDescent="0.25">
      <c r="A467" s="1"/>
      <c r="B467" s="196" t="s">
        <v>240</v>
      </c>
      <c r="C467" s="143">
        <v>1330</v>
      </c>
      <c r="D467" s="143" t="s">
        <v>611</v>
      </c>
      <c r="E467" s="143" t="s">
        <v>616</v>
      </c>
      <c r="F467" s="175" t="s">
        <v>114</v>
      </c>
      <c r="G467" s="175" t="s">
        <v>115</v>
      </c>
      <c r="H467" s="175" t="s">
        <v>1131</v>
      </c>
      <c r="I467" s="176">
        <f>11135000-6319200</f>
        <v>4815800</v>
      </c>
      <c r="J467" s="177" t="s">
        <v>60</v>
      </c>
      <c r="K467" s="177" t="s">
        <v>48</v>
      </c>
      <c r="L467" s="178"/>
      <c r="M467" s="238"/>
      <c r="N467" s="237"/>
      <c r="O467" s="146">
        <v>10</v>
      </c>
      <c r="P467" s="146">
        <v>10</v>
      </c>
      <c r="Q467" s="147">
        <v>2</v>
      </c>
      <c r="R467" s="148" t="s">
        <v>51</v>
      </c>
      <c r="S467" s="149" t="s">
        <v>637</v>
      </c>
      <c r="T467" s="150" t="s">
        <v>53</v>
      </c>
      <c r="U467" s="151">
        <f t="shared" si="40"/>
        <v>4815800</v>
      </c>
      <c r="V467" s="152">
        <f t="shared" si="41"/>
        <v>4815800</v>
      </c>
      <c r="W467" s="153" t="s">
        <v>54</v>
      </c>
      <c r="X467" s="153" t="s">
        <v>55</v>
      </c>
      <c r="Y467" s="154" t="s">
        <v>56</v>
      </c>
      <c r="Z467" s="155" t="s">
        <v>57</v>
      </c>
      <c r="AA467" s="156" t="s">
        <v>240</v>
      </c>
      <c r="AB467" s="157" t="s">
        <v>58</v>
      </c>
      <c r="AC467" s="158" t="s">
        <v>59</v>
      </c>
      <c r="AD467" s="153" t="s">
        <v>54</v>
      </c>
      <c r="AE467" s="153" t="s">
        <v>60</v>
      </c>
      <c r="AF467" s="159" t="s">
        <v>61</v>
      </c>
      <c r="AG467" s="159" t="s">
        <v>62</v>
      </c>
      <c r="AH467" s="159" t="s">
        <v>63</v>
      </c>
      <c r="AI467" s="159" t="s">
        <v>64</v>
      </c>
      <c r="AJ467" s="159" t="s">
        <v>64</v>
      </c>
      <c r="AK467" s="197" t="s">
        <v>64</v>
      </c>
      <c r="AL467" s="42"/>
      <c r="AM467" s="42"/>
      <c r="AN467" s="42"/>
      <c r="AO467" s="42"/>
    </row>
    <row r="468" spans="1:41" ht="84.75" customHeight="1" thickBot="1" x14ac:dyDescent="0.25">
      <c r="A468" s="1"/>
      <c r="B468" s="196" t="s">
        <v>42</v>
      </c>
      <c r="C468" s="143">
        <v>1320</v>
      </c>
      <c r="D468" s="143" t="s">
        <v>150</v>
      </c>
      <c r="E468" s="143" t="s">
        <v>44</v>
      </c>
      <c r="F468" s="175" t="s">
        <v>111</v>
      </c>
      <c r="G468" s="175" t="s">
        <v>112</v>
      </c>
      <c r="H468" s="175" t="s">
        <v>1135</v>
      </c>
      <c r="I468" s="176">
        <v>25472497</v>
      </c>
      <c r="J468" s="177" t="s">
        <v>575</v>
      </c>
      <c r="K468" s="177" t="s">
        <v>48</v>
      </c>
      <c r="L468" s="178" t="s">
        <v>1136</v>
      </c>
      <c r="M468" s="143">
        <v>14111700</v>
      </c>
      <c r="N468" s="145" t="s">
        <v>1135</v>
      </c>
      <c r="O468" s="146">
        <v>11</v>
      </c>
      <c r="P468" s="146">
        <v>11</v>
      </c>
      <c r="Q468" s="147">
        <v>11</v>
      </c>
      <c r="R468" s="148" t="s">
        <v>51</v>
      </c>
      <c r="S468" s="149" t="s">
        <v>467</v>
      </c>
      <c r="T468" s="150" t="s">
        <v>53</v>
      </c>
      <c r="U468" s="151">
        <f t="shared" si="40"/>
        <v>25472497</v>
      </c>
      <c r="V468" s="152">
        <f t="shared" si="41"/>
        <v>25472497</v>
      </c>
      <c r="W468" s="153" t="s">
        <v>54</v>
      </c>
      <c r="X468" s="153" t="s">
        <v>55</v>
      </c>
      <c r="Y468" s="154" t="s">
        <v>56</v>
      </c>
      <c r="Z468" s="155" t="s">
        <v>57</v>
      </c>
      <c r="AA468" s="156" t="s">
        <v>42</v>
      </c>
      <c r="AB468" s="157" t="s">
        <v>58</v>
      </c>
      <c r="AC468" s="158" t="s">
        <v>59</v>
      </c>
      <c r="AD468" s="153" t="s">
        <v>54</v>
      </c>
      <c r="AE468" s="153" t="s">
        <v>60</v>
      </c>
      <c r="AF468" s="159" t="s">
        <v>61</v>
      </c>
      <c r="AG468" s="159" t="s">
        <v>62</v>
      </c>
      <c r="AH468" s="159" t="s">
        <v>63</v>
      </c>
      <c r="AI468" s="159" t="s">
        <v>64</v>
      </c>
      <c r="AJ468" s="159" t="s">
        <v>64</v>
      </c>
      <c r="AK468" s="197" t="s">
        <v>64</v>
      </c>
    </row>
    <row r="469" spans="1:41" s="32" customFormat="1" ht="84.75" customHeight="1" thickBot="1" x14ac:dyDescent="0.25">
      <c r="A469" s="1"/>
      <c r="B469" s="196"/>
      <c r="C469" s="143">
        <v>1320</v>
      </c>
      <c r="D469" s="143" t="s">
        <v>150</v>
      </c>
      <c r="E469" s="143" t="s">
        <v>44</v>
      </c>
      <c r="F469" s="175" t="s">
        <v>123</v>
      </c>
      <c r="G469" s="175" t="s">
        <v>124</v>
      </c>
      <c r="H469" s="175" t="s">
        <v>1137</v>
      </c>
      <c r="I469" s="176">
        <v>50149633</v>
      </c>
      <c r="J469" s="177" t="s">
        <v>60</v>
      </c>
      <c r="K469" s="177"/>
      <c r="L469" s="178" t="s">
        <v>1138</v>
      </c>
      <c r="M469" s="143">
        <v>76111500</v>
      </c>
      <c r="N469" s="237" t="s">
        <v>1137</v>
      </c>
      <c r="O469" s="146">
        <v>11</v>
      </c>
      <c r="P469" s="146">
        <v>11</v>
      </c>
      <c r="Q469" s="147">
        <v>11</v>
      </c>
      <c r="R469" s="148" t="s">
        <v>51</v>
      </c>
      <c r="S469" s="149" t="s">
        <v>286</v>
      </c>
      <c r="T469" s="150" t="s">
        <v>282</v>
      </c>
      <c r="U469" s="151">
        <v>124998420</v>
      </c>
      <c r="V469" s="152">
        <v>124998420</v>
      </c>
      <c r="W469" s="153" t="s">
        <v>54</v>
      </c>
      <c r="X469" s="153" t="s">
        <v>55</v>
      </c>
      <c r="Y469" s="154" t="s">
        <v>56</v>
      </c>
      <c r="Z469" s="155" t="s">
        <v>57</v>
      </c>
      <c r="AA469" s="156" t="s">
        <v>42</v>
      </c>
      <c r="AB469" s="157" t="s">
        <v>58</v>
      </c>
      <c r="AC469" s="158" t="s">
        <v>59</v>
      </c>
      <c r="AD469" s="153" t="s">
        <v>54</v>
      </c>
      <c r="AE469" s="153" t="s">
        <v>60</v>
      </c>
      <c r="AF469" s="159" t="s">
        <v>61</v>
      </c>
      <c r="AG469" s="159" t="s">
        <v>62</v>
      </c>
      <c r="AH469" s="159" t="s">
        <v>63</v>
      </c>
      <c r="AI469" s="159" t="s">
        <v>64</v>
      </c>
      <c r="AJ469" s="159" t="s">
        <v>64</v>
      </c>
      <c r="AK469" s="197" t="s">
        <v>64</v>
      </c>
      <c r="AL469" s="29"/>
      <c r="AM469" s="29"/>
      <c r="AN469" s="29"/>
      <c r="AO469" s="29"/>
    </row>
    <row r="470" spans="1:41" s="32" customFormat="1" ht="84.75" customHeight="1" thickBot="1" x14ac:dyDescent="0.25">
      <c r="A470" s="1"/>
      <c r="B470" s="196" t="s">
        <v>42</v>
      </c>
      <c r="C470" s="143">
        <v>1320</v>
      </c>
      <c r="D470" s="143" t="s">
        <v>150</v>
      </c>
      <c r="E470" s="143" t="s">
        <v>44</v>
      </c>
      <c r="F470" s="175" t="s">
        <v>123</v>
      </c>
      <c r="G470" s="175" t="s">
        <v>124</v>
      </c>
      <c r="H470" s="175" t="s">
        <v>1137</v>
      </c>
      <c r="I470" s="176">
        <v>124998420</v>
      </c>
      <c r="J470" s="177" t="s">
        <v>575</v>
      </c>
      <c r="K470" s="177" t="s">
        <v>48</v>
      </c>
      <c r="L470" s="178" t="s">
        <v>1138</v>
      </c>
      <c r="M470" s="143">
        <v>76111500</v>
      </c>
      <c r="N470" s="237"/>
      <c r="O470" s="146">
        <v>11</v>
      </c>
      <c r="P470" s="146">
        <v>11</v>
      </c>
      <c r="Q470" s="147">
        <v>11</v>
      </c>
      <c r="R470" s="148" t="s">
        <v>51</v>
      </c>
      <c r="S470" s="149" t="s">
        <v>286</v>
      </c>
      <c r="T470" s="150" t="s">
        <v>282</v>
      </c>
      <c r="U470" s="151">
        <f t="shared" si="40"/>
        <v>124998420</v>
      </c>
      <c r="V470" s="152">
        <f t="shared" si="41"/>
        <v>124998420</v>
      </c>
      <c r="W470" s="153" t="s">
        <v>54</v>
      </c>
      <c r="X470" s="153" t="s">
        <v>55</v>
      </c>
      <c r="Y470" s="154" t="s">
        <v>56</v>
      </c>
      <c r="Z470" s="155" t="s">
        <v>57</v>
      </c>
      <c r="AA470" s="156" t="s">
        <v>42</v>
      </c>
      <c r="AB470" s="157" t="s">
        <v>58</v>
      </c>
      <c r="AC470" s="158" t="s">
        <v>59</v>
      </c>
      <c r="AD470" s="153" t="s">
        <v>54</v>
      </c>
      <c r="AE470" s="153" t="s">
        <v>60</v>
      </c>
      <c r="AF470" s="159" t="s">
        <v>61</v>
      </c>
      <c r="AG470" s="159" t="s">
        <v>62</v>
      </c>
      <c r="AH470" s="159" t="s">
        <v>63</v>
      </c>
      <c r="AI470" s="159" t="s">
        <v>64</v>
      </c>
      <c r="AJ470" s="159" t="s">
        <v>64</v>
      </c>
      <c r="AK470" s="197" t="s">
        <v>64</v>
      </c>
      <c r="AL470" s="29"/>
      <c r="AM470" s="29"/>
      <c r="AN470" s="29"/>
      <c r="AO470" s="29"/>
    </row>
    <row r="471" spans="1:41" ht="84.75" customHeight="1" thickBot="1" x14ac:dyDescent="0.25">
      <c r="A471" s="1"/>
      <c r="B471" s="196" t="s">
        <v>42</v>
      </c>
      <c r="C471" s="143">
        <v>1320</v>
      </c>
      <c r="D471" s="143" t="s">
        <v>150</v>
      </c>
      <c r="E471" s="143" t="s">
        <v>44</v>
      </c>
      <c r="F471" s="175" t="s">
        <v>120</v>
      </c>
      <c r="G471" s="175" t="s">
        <v>121</v>
      </c>
      <c r="H471" s="175" t="s">
        <v>1139</v>
      </c>
      <c r="I471" s="176">
        <v>115000</v>
      </c>
      <c r="J471" s="177" t="s">
        <v>48</v>
      </c>
      <c r="K471" s="177" t="s">
        <v>48</v>
      </c>
      <c r="L471" s="178" t="s">
        <v>143</v>
      </c>
      <c r="M471" s="143" t="s">
        <v>50</v>
      </c>
      <c r="N471" s="145" t="str">
        <f t="shared" ref="N471" si="54">H471</f>
        <v>Amparar en el marco de la Normatividad el pago los aportes a riesgos laborales -ARL de los Contratistas con actividad clasificada en el riesgo nivel IV o V.</v>
      </c>
      <c r="O471" s="146">
        <v>11</v>
      </c>
      <c r="P471" s="146">
        <v>11</v>
      </c>
      <c r="Q471" s="147">
        <v>1</v>
      </c>
      <c r="R471" s="148" t="s">
        <v>51</v>
      </c>
      <c r="S471" s="149" t="s">
        <v>472</v>
      </c>
      <c r="T471" s="150" t="s">
        <v>53</v>
      </c>
      <c r="U471" s="151">
        <f t="shared" si="40"/>
        <v>115000</v>
      </c>
      <c r="V471" s="152">
        <f t="shared" si="41"/>
        <v>115000</v>
      </c>
      <c r="W471" s="153" t="s">
        <v>54</v>
      </c>
      <c r="X471" s="153" t="s">
        <v>55</v>
      </c>
      <c r="Y471" s="154" t="s">
        <v>56</v>
      </c>
      <c r="Z471" s="155" t="s">
        <v>57</v>
      </c>
      <c r="AA471" s="156" t="s">
        <v>42</v>
      </c>
      <c r="AB471" s="157" t="s">
        <v>58</v>
      </c>
      <c r="AC471" s="158" t="s">
        <v>59</v>
      </c>
      <c r="AD471" s="153" t="s">
        <v>54</v>
      </c>
      <c r="AE471" s="153" t="s">
        <v>60</v>
      </c>
      <c r="AF471" s="159" t="s">
        <v>61</v>
      </c>
      <c r="AG471" s="159" t="s">
        <v>62</v>
      </c>
      <c r="AH471" s="159" t="s">
        <v>63</v>
      </c>
      <c r="AI471" s="159" t="s">
        <v>64</v>
      </c>
      <c r="AJ471" s="159" t="s">
        <v>64</v>
      </c>
      <c r="AK471" s="197" t="s">
        <v>64</v>
      </c>
    </row>
    <row r="472" spans="1:41" ht="84.75" customHeight="1" thickBot="1" x14ac:dyDescent="0.25">
      <c r="B472" s="196" t="s">
        <v>42</v>
      </c>
      <c r="C472" s="143">
        <v>1325</v>
      </c>
      <c r="D472" s="143" t="s">
        <v>155</v>
      </c>
      <c r="E472" s="143" t="s">
        <v>156</v>
      </c>
      <c r="F472" s="175" t="s">
        <v>78</v>
      </c>
      <c r="G472" s="175" t="s">
        <v>79</v>
      </c>
      <c r="H472" s="175" t="s">
        <v>1140</v>
      </c>
      <c r="I472" s="176">
        <v>11267065</v>
      </c>
      <c r="J472" s="177" t="s">
        <v>60</v>
      </c>
      <c r="K472" s="177" t="s">
        <v>48</v>
      </c>
      <c r="L472" s="178" t="s">
        <v>1141</v>
      </c>
      <c r="M472" s="143">
        <v>43201800</v>
      </c>
      <c r="N472" s="145" t="s">
        <v>1140</v>
      </c>
      <c r="O472" s="146">
        <v>11</v>
      </c>
      <c r="P472" s="146">
        <v>11</v>
      </c>
      <c r="Q472" s="147">
        <v>1</v>
      </c>
      <c r="R472" s="148" t="s">
        <v>51</v>
      </c>
      <c r="S472" s="149" t="s">
        <v>472</v>
      </c>
      <c r="T472" s="150" t="s">
        <v>53</v>
      </c>
      <c r="U472" s="151">
        <f t="shared" si="40"/>
        <v>11267065</v>
      </c>
      <c r="V472" s="152">
        <f t="shared" si="41"/>
        <v>11267065</v>
      </c>
      <c r="W472" s="153" t="s">
        <v>54</v>
      </c>
      <c r="X472" s="153" t="s">
        <v>55</v>
      </c>
      <c r="Y472" s="154" t="s">
        <v>56</v>
      </c>
      <c r="Z472" s="155" t="s">
        <v>57</v>
      </c>
      <c r="AA472" s="156" t="s">
        <v>42</v>
      </c>
      <c r="AB472" s="157" t="s">
        <v>58</v>
      </c>
      <c r="AC472" s="158" t="s">
        <v>59</v>
      </c>
      <c r="AD472" s="153" t="s">
        <v>54</v>
      </c>
      <c r="AE472" s="153" t="s">
        <v>60</v>
      </c>
      <c r="AF472" s="159" t="s">
        <v>61</v>
      </c>
      <c r="AG472" s="159" t="s">
        <v>62</v>
      </c>
      <c r="AH472" s="159" t="s">
        <v>63</v>
      </c>
      <c r="AI472" s="159" t="s">
        <v>64</v>
      </c>
      <c r="AJ472" s="159" t="s">
        <v>64</v>
      </c>
      <c r="AK472" s="197" t="s">
        <v>64</v>
      </c>
    </row>
    <row r="473" spans="1:41" ht="84.75" customHeight="1" thickBot="1" x14ac:dyDescent="0.25">
      <c r="A473" s="1"/>
      <c r="B473" s="196" t="s">
        <v>42</v>
      </c>
      <c r="C473" s="143">
        <v>1320</v>
      </c>
      <c r="D473" s="143" t="s">
        <v>150</v>
      </c>
      <c r="E473" s="143" t="s">
        <v>44</v>
      </c>
      <c r="F473" s="175" t="s">
        <v>117</v>
      </c>
      <c r="G473" s="175" t="s">
        <v>118</v>
      </c>
      <c r="H473" s="175" t="s">
        <v>1142</v>
      </c>
      <c r="I473" s="176">
        <v>10000000</v>
      </c>
      <c r="J473" s="177" t="s">
        <v>575</v>
      </c>
      <c r="K473" s="177" t="s">
        <v>48</v>
      </c>
      <c r="L473" s="178" t="s">
        <v>1143</v>
      </c>
      <c r="M473" s="143">
        <v>78111800</v>
      </c>
      <c r="N473" s="145" t="s">
        <v>1142</v>
      </c>
      <c r="O473" s="146">
        <v>11</v>
      </c>
      <c r="P473" s="146">
        <v>11</v>
      </c>
      <c r="Q473" s="147">
        <v>1</v>
      </c>
      <c r="R473" s="148" t="s">
        <v>51</v>
      </c>
      <c r="S473" s="149" t="s">
        <v>270</v>
      </c>
      <c r="T473" s="150" t="s">
        <v>53</v>
      </c>
      <c r="U473" s="151">
        <f t="shared" si="40"/>
        <v>10000000</v>
      </c>
      <c r="V473" s="152">
        <f t="shared" si="41"/>
        <v>10000000</v>
      </c>
      <c r="W473" s="153" t="s">
        <v>54</v>
      </c>
      <c r="X473" s="153" t="s">
        <v>55</v>
      </c>
      <c r="Y473" s="154" t="s">
        <v>56</v>
      </c>
      <c r="Z473" s="155" t="s">
        <v>57</v>
      </c>
      <c r="AA473" s="156" t="s">
        <v>42</v>
      </c>
      <c r="AB473" s="157" t="s">
        <v>58</v>
      </c>
      <c r="AC473" s="158" t="s">
        <v>59</v>
      </c>
      <c r="AD473" s="153" t="s">
        <v>54</v>
      </c>
      <c r="AE473" s="153" t="s">
        <v>60</v>
      </c>
      <c r="AF473" s="159" t="s">
        <v>61</v>
      </c>
      <c r="AG473" s="159" t="s">
        <v>62</v>
      </c>
      <c r="AH473" s="159" t="s">
        <v>63</v>
      </c>
      <c r="AI473" s="159" t="s">
        <v>64</v>
      </c>
      <c r="AJ473" s="159" t="s">
        <v>64</v>
      </c>
      <c r="AK473" s="197" t="s">
        <v>64</v>
      </c>
    </row>
    <row r="474" spans="1:41" s="32" customFormat="1" ht="84.75" customHeight="1" thickBot="1" x14ac:dyDescent="0.25">
      <c r="A474" s="9"/>
      <c r="B474" s="196" t="s">
        <v>42</v>
      </c>
      <c r="C474" s="143">
        <v>1320</v>
      </c>
      <c r="D474" s="143" t="s">
        <v>150</v>
      </c>
      <c r="E474" s="143" t="s">
        <v>44</v>
      </c>
      <c r="F474" s="175" t="s">
        <v>1144</v>
      </c>
      <c r="G474" s="175" t="s">
        <v>460</v>
      </c>
      <c r="H474" s="175" t="s">
        <v>1091</v>
      </c>
      <c r="I474" s="176">
        <v>4400000</v>
      </c>
      <c r="J474" s="177" t="s">
        <v>54</v>
      </c>
      <c r="K474" s="177"/>
      <c r="L474" s="178"/>
      <c r="M474" s="143"/>
      <c r="N474" s="145" t="str">
        <f>H474</f>
        <v>Se adiciona para cuadrar presupuesto con goobi</v>
      </c>
      <c r="O474" s="146">
        <v>11</v>
      </c>
      <c r="P474" s="146">
        <v>11</v>
      </c>
      <c r="Q474" s="147">
        <v>1</v>
      </c>
      <c r="R474" s="148" t="s">
        <v>51</v>
      </c>
      <c r="S474" s="149" t="s">
        <v>270</v>
      </c>
      <c r="T474" s="150">
        <v>17</v>
      </c>
      <c r="U474" s="151">
        <f t="shared" si="40"/>
        <v>4400000</v>
      </c>
      <c r="V474" s="152">
        <f t="shared" si="41"/>
        <v>4400000</v>
      </c>
      <c r="W474" s="153" t="s">
        <v>54</v>
      </c>
      <c r="X474" s="153" t="s">
        <v>55</v>
      </c>
      <c r="Y474" s="154" t="s">
        <v>56</v>
      </c>
      <c r="Z474" s="155" t="s">
        <v>57</v>
      </c>
      <c r="AA474" s="156" t="s">
        <v>42</v>
      </c>
      <c r="AB474" s="157" t="s">
        <v>58</v>
      </c>
      <c r="AC474" s="158" t="s">
        <v>59</v>
      </c>
      <c r="AD474" s="153" t="s">
        <v>54</v>
      </c>
      <c r="AE474" s="153" t="s">
        <v>60</v>
      </c>
      <c r="AF474" s="159" t="s">
        <v>61</v>
      </c>
      <c r="AG474" s="159" t="s">
        <v>62</v>
      </c>
      <c r="AH474" s="159" t="s">
        <v>63</v>
      </c>
      <c r="AI474" s="159" t="s">
        <v>64</v>
      </c>
      <c r="AJ474" s="159" t="s">
        <v>64</v>
      </c>
      <c r="AK474" s="197" t="s">
        <v>64</v>
      </c>
      <c r="AL474" s="29"/>
      <c r="AM474" s="29"/>
      <c r="AN474" s="29"/>
      <c r="AO474" s="29"/>
    </row>
    <row r="475" spans="1:41" s="32" customFormat="1" ht="84.75" customHeight="1" thickBot="1" x14ac:dyDescent="0.25">
      <c r="A475" s="9" t="s">
        <v>1201</v>
      </c>
      <c r="B475" s="196" t="s">
        <v>42</v>
      </c>
      <c r="C475" s="143">
        <v>1320</v>
      </c>
      <c r="D475" s="143" t="s">
        <v>150</v>
      </c>
      <c r="E475" s="143" t="s">
        <v>44</v>
      </c>
      <c r="F475" s="175" t="s">
        <v>123</v>
      </c>
      <c r="G475" s="175" t="s">
        <v>124</v>
      </c>
      <c r="H475" s="175" t="s">
        <v>1146</v>
      </c>
      <c r="I475" s="176">
        <v>64749509</v>
      </c>
      <c r="J475" s="177" t="s">
        <v>54</v>
      </c>
      <c r="K475" s="177"/>
      <c r="L475" s="178"/>
      <c r="M475" s="143"/>
      <c r="N475" s="145" t="str">
        <f>H475</f>
        <v>Se adiciona para cuadrar el presupuesto de goobi</v>
      </c>
      <c r="O475" s="146">
        <v>11</v>
      </c>
      <c r="P475" s="146">
        <v>11</v>
      </c>
      <c r="Q475" s="147">
        <v>1</v>
      </c>
      <c r="R475" s="148" t="s">
        <v>51</v>
      </c>
      <c r="S475" s="149" t="s">
        <v>270</v>
      </c>
      <c r="T475" s="150" t="s">
        <v>53</v>
      </c>
      <c r="U475" s="151">
        <f t="shared" ref="U475" si="55">+I475</f>
        <v>64749509</v>
      </c>
      <c r="V475" s="152">
        <f t="shared" ref="V475:V478" si="56">+U475</f>
        <v>64749509</v>
      </c>
      <c r="W475" s="153" t="s">
        <v>54</v>
      </c>
      <c r="X475" s="153" t="s">
        <v>55</v>
      </c>
      <c r="Y475" s="154" t="s">
        <v>56</v>
      </c>
      <c r="Z475" s="155" t="s">
        <v>57</v>
      </c>
      <c r="AA475" s="156" t="s">
        <v>42</v>
      </c>
      <c r="AB475" s="157" t="s">
        <v>58</v>
      </c>
      <c r="AC475" s="158" t="s">
        <v>59</v>
      </c>
      <c r="AD475" s="153" t="s">
        <v>54</v>
      </c>
      <c r="AE475" s="153" t="s">
        <v>60</v>
      </c>
      <c r="AF475" s="159" t="s">
        <v>61</v>
      </c>
      <c r="AG475" s="159" t="s">
        <v>62</v>
      </c>
      <c r="AH475" s="159" t="s">
        <v>63</v>
      </c>
      <c r="AI475" s="159" t="s">
        <v>64</v>
      </c>
      <c r="AJ475" s="159" t="s">
        <v>64</v>
      </c>
      <c r="AK475" s="197" t="s">
        <v>64</v>
      </c>
      <c r="AL475" s="29"/>
      <c r="AM475" s="29"/>
      <c r="AN475" s="29"/>
      <c r="AO475" s="29"/>
    </row>
    <row r="476" spans="1:41" ht="84.75" customHeight="1" thickBot="1" x14ac:dyDescent="0.25">
      <c r="B476" s="196" t="s">
        <v>42</v>
      </c>
      <c r="C476" s="143">
        <v>1328</v>
      </c>
      <c r="D476" s="143" t="s">
        <v>602</v>
      </c>
      <c r="E476" s="143" t="s">
        <v>204</v>
      </c>
      <c r="F476" s="175" t="s">
        <v>126</v>
      </c>
      <c r="G476" s="175" t="s">
        <v>127</v>
      </c>
      <c r="H476" s="175" t="s">
        <v>1214</v>
      </c>
      <c r="I476" s="176">
        <v>5000000</v>
      </c>
      <c r="J476" s="177" t="s">
        <v>54</v>
      </c>
      <c r="K476" s="177"/>
      <c r="L476" s="178" t="s">
        <v>1215</v>
      </c>
      <c r="M476" s="143"/>
      <c r="N476" s="145" t="str">
        <f>H476</f>
        <v xml:space="preserve"> la refrigeración de los servidores ubicados en el Data</v>
      </c>
      <c r="O476" s="146">
        <v>11</v>
      </c>
      <c r="P476" s="146">
        <v>11</v>
      </c>
      <c r="Q476" s="147">
        <v>1</v>
      </c>
      <c r="R476" s="148" t="s">
        <v>51</v>
      </c>
      <c r="S476" s="149" t="s">
        <v>270</v>
      </c>
      <c r="T476" s="150" t="s">
        <v>282</v>
      </c>
      <c r="U476" s="151">
        <f>I476</f>
        <v>5000000</v>
      </c>
      <c r="V476" s="152">
        <f t="shared" si="56"/>
        <v>5000000</v>
      </c>
      <c r="W476" s="153" t="s">
        <v>54</v>
      </c>
      <c r="X476" s="153" t="s">
        <v>55</v>
      </c>
      <c r="Y476" s="154" t="s">
        <v>56</v>
      </c>
      <c r="Z476" s="155" t="s">
        <v>57</v>
      </c>
      <c r="AA476" s="156" t="s">
        <v>42</v>
      </c>
      <c r="AB476" s="157" t="s">
        <v>58</v>
      </c>
      <c r="AC476" s="158" t="s">
        <v>59</v>
      </c>
      <c r="AD476" s="153" t="s">
        <v>54</v>
      </c>
      <c r="AE476" s="153" t="s">
        <v>60</v>
      </c>
      <c r="AF476" s="159" t="s">
        <v>61</v>
      </c>
      <c r="AG476" s="159" t="s">
        <v>62</v>
      </c>
      <c r="AH476" s="159" t="s">
        <v>63</v>
      </c>
      <c r="AI476" s="159" t="s">
        <v>64</v>
      </c>
      <c r="AJ476" s="159" t="s">
        <v>64</v>
      </c>
      <c r="AK476" s="197" t="s">
        <v>64</v>
      </c>
    </row>
    <row r="477" spans="1:41" s="32" customFormat="1" ht="84.75" customHeight="1" thickBot="1" x14ac:dyDescent="0.25">
      <c r="A477" s="128" t="s">
        <v>1201</v>
      </c>
      <c r="B477" s="196" t="s">
        <v>42</v>
      </c>
      <c r="C477" s="143">
        <v>1331</v>
      </c>
      <c r="D477" s="143" t="s">
        <v>67</v>
      </c>
      <c r="E477" s="143" t="s">
        <v>44</v>
      </c>
      <c r="F477" s="175" t="s">
        <v>117</v>
      </c>
      <c r="G477" s="175" t="s">
        <v>118</v>
      </c>
      <c r="H477" s="175" t="s">
        <v>1149</v>
      </c>
      <c r="I477" s="176">
        <v>5600000</v>
      </c>
      <c r="J477" s="177" t="s">
        <v>54</v>
      </c>
      <c r="K477" s="177"/>
      <c r="L477" s="178" t="s">
        <v>639</v>
      </c>
      <c r="M477" s="143"/>
      <c r="N477" s="145" t="str">
        <f>H477</f>
        <v xml:space="preserve">se adiciona para cuadrar presupuesto
</v>
      </c>
      <c r="O477" s="146">
        <v>11</v>
      </c>
      <c r="P477" s="146">
        <v>11</v>
      </c>
      <c r="Q477" s="147">
        <v>1</v>
      </c>
      <c r="R477" s="148" t="s">
        <v>51</v>
      </c>
      <c r="S477" s="149" t="s">
        <v>270</v>
      </c>
      <c r="T477" s="150" t="s">
        <v>53</v>
      </c>
      <c r="U477" s="151">
        <f t="shared" ref="U477:U478" si="57">+I477</f>
        <v>5600000</v>
      </c>
      <c r="V477" s="152">
        <f t="shared" si="56"/>
        <v>5600000</v>
      </c>
      <c r="W477" s="153" t="s">
        <v>54</v>
      </c>
      <c r="X477" s="153" t="s">
        <v>55</v>
      </c>
      <c r="Y477" s="154" t="s">
        <v>56</v>
      </c>
      <c r="Z477" s="155" t="s">
        <v>57</v>
      </c>
      <c r="AA477" s="156" t="s">
        <v>42</v>
      </c>
      <c r="AB477" s="157" t="s">
        <v>58</v>
      </c>
      <c r="AC477" s="158" t="s">
        <v>59</v>
      </c>
      <c r="AD477" s="153" t="s">
        <v>54</v>
      </c>
      <c r="AE477" s="153" t="s">
        <v>60</v>
      </c>
      <c r="AF477" s="159" t="s">
        <v>61</v>
      </c>
      <c r="AG477" s="159" t="s">
        <v>62</v>
      </c>
      <c r="AH477" s="159" t="s">
        <v>63</v>
      </c>
      <c r="AI477" s="159" t="s">
        <v>64</v>
      </c>
      <c r="AJ477" s="159" t="s">
        <v>64</v>
      </c>
      <c r="AK477" s="197" t="s">
        <v>64</v>
      </c>
      <c r="AL477" s="29"/>
      <c r="AM477" s="29"/>
      <c r="AN477" s="29"/>
      <c r="AO477" s="29"/>
    </row>
    <row r="478" spans="1:41" s="32" customFormat="1" ht="84.75" customHeight="1" thickBot="1" x14ac:dyDescent="0.25">
      <c r="A478" s="9" t="s">
        <v>1201</v>
      </c>
      <c r="B478" s="196" t="s">
        <v>42</v>
      </c>
      <c r="C478" s="143">
        <v>1331</v>
      </c>
      <c r="D478" s="143" t="s">
        <v>67</v>
      </c>
      <c r="E478" s="143" t="s">
        <v>44</v>
      </c>
      <c r="F478" s="175" t="s">
        <v>68</v>
      </c>
      <c r="G478" s="175" t="s">
        <v>69</v>
      </c>
      <c r="H478" s="175" t="s">
        <v>818</v>
      </c>
      <c r="I478" s="176">
        <v>1390269</v>
      </c>
      <c r="J478" s="177" t="s">
        <v>54</v>
      </c>
      <c r="K478" s="177"/>
      <c r="L478" s="178" t="s">
        <v>639</v>
      </c>
      <c r="M478" s="143"/>
      <c r="N478" s="145" t="str">
        <f>H478</f>
        <v>se adiciona para cuadrar presupuesto</v>
      </c>
      <c r="O478" s="146">
        <v>11</v>
      </c>
      <c r="P478" s="146">
        <v>11</v>
      </c>
      <c r="Q478" s="147">
        <v>1</v>
      </c>
      <c r="R478" s="148" t="s">
        <v>51</v>
      </c>
      <c r="S478" s="149" t="s">
        <v>270</v>
      </c>
      <c r="T478" s="150" t="s">
        <v>53</v>
      </c>
      <c r="U478" s="151">
        <f t="shared" si="57"/>
        <v>1390269</v>
      </c>
      <c r="V478" s="152">
        <f t="shared" si="56"/>
        <v>1390269</v>
      </c>
      <c r="W478" s="153" t="s">
        <v>54</v>
      </c>
      <c r="X478" s="153" t="s">
        <v>55</v>
      </c>
      <c r="Y478" s="154" t="s">
        <v>56</v>
      </c>
      <c r="Z478" s="155" t="s">
        <v>57</v>
      </c>
      <c r="AA478" s="156" t="s">
        <v>42</v>
      </c>
      <c r="AB478" s="157" t="s">
        <v>58</v>
      </c>
      <c r="AC478" s="158" t="s">
        <v>59</v>
      </c>
      <c r="AD478" s="153" t="s">
        <v>54</v>
      </c>
      <c r="AE478" s="153" t="s">
        <v>60</v>
      </c>
      <c r="AF478" s="159" t="s">
        <v>61</v>
      </c>
      <c r="AG478" s="159" t="s">
        <v>62</v>
      </c>
      <c r="AH478" s="159" t="s">
        <v>63</v>
      </c>
      <c r="AI478" s="159" t="s">
        <v>64</v>
      </c>
      <c r="AJ478" s="159" t="s">
        <v>64</v>
      </c>
      <c r="AK478" s="197" t="s">
        <v>64</v>
      </c>
      <c r="AL478" s="29"/>
      <c r="AM478" s="29"/>
      <c r="AN478" s="29"/>
      <c r="AO478" s="29"/>
    </row>
    <row r="479" spans="1:41" s="32" customFormat="1" ht="84.75" customHeight="1" thickBot="1" x14ac:dyDescent="0.25">
      <c r="A479" s="9"/>
      <c r="B479" s="196" t="s">
        <v>42</v>
      </c>
      <c r="C479" s="143">
        <v>1320</v>
      </c>
      <c r="D479" s="143" t="s">
        <v>150</v>
      </c>
      <c r="E479" s="143" t="s">
        <v>44</v>
      </c>
      <c r="F479" s="175" t="s">
        <v>123</v>
      </c>
      <c r="G479" s="175" t="s">
        <v>124</v>
      </c>
      <c r="H479" s="175" t="s">
        <v>930</v>
      </c>
      <c r="I479" s="176">
        <v>10000000</v>
      </c>
      <c r="J479" s="177" t="s">
        <v>575</v>
      </c>
      <c r="K479" s="177" t="s">
        <v>48</v>
      </c>
      <c r="L479" s="178" t="s">
        <v>1150</v>
      </c>
      <c r="M479" s="143">
        <v>78181500</v>
      </c>
      <c r="N479" s="143" t="s">
        <v>930</v>
      </c>
      <c r="O479" s="146">
        <v>11</v>
      </c>
      <c r="P479" s="146">
        <v>11</v>
      </c>
      <c r="Q479" s="147">
        <v>1</v>
      </c>
      <c r="R479" s="148" t="s">
        <v>51</v>
      </c>
      <c r="S479" s="149" t="s">
        <v>270</v>
      </c>
      <c r="T479" s="150" t="s">
        <v>53</v>
      </c>
      <c r="U479" s="151">
        <v>10000000</v>
      </c>
      <c r="V479" s="152">
        <v>10000000</v>
      </c>
      <c r="W479" s="153" t="s">
        <v>54</v>
      </c>
      <c r="X479" s="153" t="s">
        <v>55</v>
      </c>
      <c r="Y479" s="154" t="s">
        <v>56</v>
      </c>
      <c r="Z479" s="155" t="s">
        <v>57</v>
      </c>
      <c r="AA479" s="156" t="s">
        <v>42</v>
      </c>
      <c r="AB479" s="157" t="s">
        <v>58</v>
      </c>
      <c r="AC479" s="158" t="s">
        <v>59</v>
      </c>
      <c r="AD479" s="153" t="s">
        <v>54</v>
      </c>
      <c r="AE479" s="153" t="s">
        <v>60</v>
      </c>
      <c r="AF479" s="159" t="s">
        <v>61</v>
      </c>
      <c r="AG479" s="159" t="s">
        <v>62</v>
      </c>
      <c r="AH479" s="159" t="s">
        <v>63</v>
      </c>
      <c r="AI479" s="159" t="s">
        <v>64</v>
      </c>
      <c r="AJ479" s="159" t="s">
        <v>64</v>
      </c>
      <c r="AK479" s="197" t="s">
        <v>64</v>
      </c>
      <c r="AL479" s="29"/>
      <c r="AM479" s="29"/>
      <c r="AN479" s="29"/>
      <c r="AO479" s="29"/>
    </row>
    <row r="480" spans="1:41" ht="84.75" customHeight="1" thickBot="1" x14ac:dyDescent="0.25">
      <c r="B480" s="196" t="s">
        <v>42</v>
      </c>
      <c r="C480" s="143">
        <v>1321</v>
      </c>
      <c r="D480" s="143" t="s">
        <v>140</v>
      </c>
      <c r="E480" s="143" t="s">
        <v>141</v>
      </c>
      <c r="F480" s="175" t="s">
        <v>123</v>
      </c>
      <c r="G480" s="175" t="s">
        <v>124</v>
      </c>
      <c r="H480" s="175" t="s">
        <v>1151</v>
      </c>
      <c r="I480" s="176">
        <v>126000000</v>
      </c>
      <c r="J480" s="177" t="s">
        <v>60</v>
      </c>
      <c r="K480" s="177" t="s">
        <v>48</v>
      </c>
      <c r="L480" s="178" t="s">
        <v>1152</v>
      </c>
      <c r="M480" s="143" t="s">
        <v>535</v>
      </c>
      <c r="N480" s="143" t="s">
        <v>1151</v>
      </c>
      <c r="O480" s="146">
        <v>11</v>
      </c>
      <c r="P480" s="146">
        <v>11</v>
      </c>
      <c r="Q480" s="147">
        <v>1</v>
      </c>
      <c r="R480" s="148" t="s">
        <v>51</v>
      </c>
      <c r="S480" s="149" t="s">
        <v>536</v>
      </c>
      <c r="T480" s="150" t="s">
        <v>53</v>
      </c>
      <c r="U480" s="151">
        <v>126000000</v>
      </c>
      <c r="V480" s="152">
        <v>126000000</v>
      </c>
      <c r="W480" s="153" t="s">
        <v>54</v>
      </c>
      <c r="X480" s="153" t="s">
        <v>55</v>
      </c>
      <c r="Y480" s="154" t="s">
        <v>56</v>
      </c>
      <c r="Z480" s="155" t="s">
        <v>57</v>
      </c>
      <c r="AA480" s="156" t="s">
        <v>42</v>
      </c>
      <c r="AB480" s="157" t="s">
        <v>58</v>
      </c>
      <c r="AC480" s="158" t="s">
        <v>59</v>
      </c>
      <c r="AD480" s="153" t="s">
        <v>54</v>
      </c>
      <c r="AE480" s="153" t="s">
        <v>60</v>
      </c>
      <c r="AF480" s="159" t="s">
        <v>61</v>
      </c>
      <c r="AG480" s="159" t="s">
        <v>62</v>
      </c>
      <c r="AH480" s="159" t="s">
        <v>63</v>
      </c>
      <c r="AI480" s="159" t="s">
        <v>64</v>
      </c>
      <c r="AJ480" s="159" t="s">
        <v>64</v>
      </c>
      <c r="AK480" s="197" t="s">
        <v>64</v>
      </c>
    </row>
    <row r="481" spans="1:41" ht="84.75" customHeight="1" thickBot="1" x14ac:dyDescent="0.25">
      <c r="A481" s="1"/>
      <c r="B481" s="196" t="s">
        <v>240</v>
      </c>
      <c r="C481" s="143">
        <v>1330</v>
      </c>
      <c r="D481" s="143" t="s">
        <v>611</v>
      </c>
      <c r="E481" s="143" t="s">
        <v>616</v>
      </c>
      <c r="F481" s="175" t="s">
        <v>123</v>
      </c>
      <c r="G481" s="175" t="s">
        <v>124</v>
      </c>
      <c r="H481" s="175" t="s">
        <v>1219</v>
      </c>
      <c r="I481" s="176">
        <v>12000000</v>
      </c>
      <c r="J481" s="177" t="s">
        <v>244</v>
      </c>
      <c r="K481" s="177" t="s">
        <v>244</v>
      </c>
      <c r="L481" s="178" t="s">
        <v>1218</v>
      </c>
      <c r="M481" s="143">
        <v>72154200</v>
      </c>
      <c r="N481" s="145" t="str">
        <f t="shared" ref="N481" si="58">H481</f>
        <v>Prestar el servicio de mantenimiento para los instrumentos de viento de la Facultad de Bellas Artes</v>
      </c>
      <c r="O481" s="146">
        <v>11</v>
      </c>
      <c r="P481" s="146">
        <v>11</v>
      </c>
      <c r="Q481" s="147">
        <v>1</v>
      </c>
      <c r="R481" s="148" t="s">
        <v>51</v>
      </c>
      <c r="S481" s="149" t="s">
        <v>622</v>
      </c>
      <c r="T481" s="150" t="s">
        <v>53</v>
      </c>
      <c r="U481" s="151">
        <f t="shared" ref="U481:U482" si="59">+I481</f>
        <v>12000000</v>
      </c>
      <c r="V481" s="152">
        <f t="shared" ref="V481:V482" si="60">+U481</f>
        <v>12000000</v>
      </c>
      <c r="W481" s="153" t="s">
        <v>54</v>
      </c>
      <c r="X481" s="153" t="s">
        <v>55</v>
      </c>
      <c r="Y481" s="154" t="s">
        <v>56</v>
      </c>
      <c r="Z481" s="155" t="s">
        <v>57</v>
      </c>
      <c r="AA481" s="156" t="s">
        <v>240</v>
      </c>
      <c r="AB481" s="157" t="s">
        <v>58</v>
      </c>
      <c r="AC481" s="158" t="s">
        <v>59</v>
      </c>
      <c r="AD481" s="153" t="s">
        <v>54</v>
      </c>
      <c r="AE481" s="153" t="s">
        <v>60</v>
      </c>
      <c r="AF481" s="159" t="s">
        <v>61</v>
      </c>
      <c r="AG481" s="159" t="s">
        <v>62</v>
      </c>
      <c r="AH481" s="159" t="s">
        <v>63</v>
      </c>
      <c r="AI481" s="159" t="s">
        <v>64</v>
      </c>
      <c r="AJ481" s="159" t="s">
        <v>64</v>
      </c>
      <c r="AK481" s="197" t="s">
        <v>64</v>
      </c>
    </row>
    <row r="482" spans="1:41" s="18" customFormat="1" ht="84.75" customHeight="1" thickBot="1" x14ac:dyDescent="0.25">
      <c r="A482" s="1"/>
      <c r="B482" s="196" t="s">
        <v>42</v>
      </c>
      <c r="C482" s="143">
        <v>1320</v>
      </c>
      <c r="D482" s="143" t="s">
        <v>150</v>
      </c>
      <c r="E482" s="143" t="s">
        <v>44</v>
      </c>
      <c r="F482" s="175" t="s">
        <v>123</v>
      </c>
      <c r="G482" s="175" t="s">
        <v>124</v>
      </c>
      <c r="H482" s="175" t="s">
        <v>881</v>
      </c>
      <c r="I482" s="176">
        <v>76125456</v>
      </c>
      <c r="J482" s="177" t="s">
        <v>575</v>
      </c>
      <c r="K482" s="177" t="s">
        <v>244</v>
      </c>
      <c r="L482" s="178" t="s">
        <v>1220</v>
      </c>
      <c r="M482" s="143">
        <v>92121500</v>
      </c>
      <c r="N482" s="145" t="str">
        <f>H482</f>
        <v xml:space="preserve">Adicionar el contrato de prestación de servicios No 005 de 2023, cuyo objeto es "Contratar la prestación del servicio de vigilancia y seguridad privada para las personas y bienes muebles e inmuebles de la Universidad Pedagógica Nacional" </v>
      </c>
      <c r="O482" s="153">
        <v>11</v>
      </c>
      <c r="P482" s="146">
        <v>11</v>
      </c>
      <c r="Q482" s="147">
        <v>1</v>
      </c>
      <c r="R482" s="148" t="s">
        <v>51</v>
      </c>
      <c r="S482" s="149" t="s">
        <v>281</v>
      </c>
      <c r="T482" s="150" t="s">
        <v>53</v>
      </c>
      <c r="U482" s="151">
        <f t="shared" si="59"/>
        <v>76125456</v>
      </c>
      <c r="V482" s="152">
        <f t="shared" si="60"/>
        <v>76125456</v>
      </c>
      <c r="W482" s="153" t="s">
        <v>54</v>
      </c>
      <c r="X482" s="153" t="s">
        <v>55</v>
      </c>
      <c r="Y482" s="154" t="s">
        <v>56</v>
      </c>
      <c r="Z482" s="155" t="s">
        <v>57</v>
      </c>
      <c r="AA482" s="156" t="s">
        <v>42</v>
      </c>
      <c r="AB482" s="157" t="s">
        <v>58</v>
      </c>
      <c r="AC482" s="158" t="s">
        <v>59</v>
      </c>
      <c r="AD482" s="153" t="s">
        <v>54</v>
      </c>
      <c r="AE482" s="153" t="s">
        <v>60</v>
      </c>
      <c r="AF482" s="159" t="s">
        <v>61</v>
      </c>
      <c r="AG482" s="159" t="s">
        <v>62</v>
      </c>
      <c r="AH482" s="159" t="s">
        <v>63</v>
      </c>
      <c r="AI482" s="159" t="s">
        <v>64</v>
      </c>
      <c r="AJ482" s="159" t="s">
        <v>64</v>
      </c>
      <c r="AK482" s="197" t="s">
        <v>64</v>
      </c>
      <c r="AL482" s="29"/>
      <c r="AM482" s="29"/>
      <c r="AN482" s="29"/>
      <c r="AO482" s="29"/>
    </row>
    <row r="483" spans="1:41" ht="84.75" customHeight="1" thickBot="1" x14ac:dyDescent="0.25">
      <c r="B483" s="199" t="s">
        <v>42</v>
      </c>
      <c r="C483" s="200">
        <v>1640</v>
      </c>
      <c r="D483" s="200" t="s">
        <v>829</v>
      </c>
      <c r="E483" s="200" t="s">
        <v>830</v>
      </c>
      <c r="F483" s="175" t="s">
        <v>111</v>
      </c>
      <c r="G483" s="175" t="s">
        <v>112</v>
      </c>
      <c r="H483" s="175" t="s">
        <v>1125</v>
      </c>
      <c r="I483" s="176">
        <v>4503942</v>
      </c>
      <c r="J483" s="177" t="s">
        <v>244</v>
      </c>
      <c r="K483" s="177" t="s">
        <v>244</v>
      </c>
      <c r="L483" s="178" t="s">
        <v>1222</v>
      </c>
      <c r="M483" s="200">
        <v>44111900</v>
      </c>
      <c r="N483" s="201" t="s">
        <v>1125</v>
      </c>
      <c r="O483" s="202">
        <v>11</v>
      </c>
      <c r="P483" s="203">
        <v>11</v>
      </c>
      <c r="Q483" s="204">
        <v>1</v>
      </c>
      <c r="R483" s="205" t="s">
        <v>51</v>
      </c>
      <c r="S483" s="206" t="s">
        <v>499</v>
      </c>
      <c r="T483" s="207" t="s">
        <v>282</v>
      </c>
      <c r="U483" s="208">
        <f t="shared" ref="U483" si="61">+I483</f>
        <v>4503942</v>
      </c>
      <c r="V483" s="209">
        <f t="shared" ref="V483" si="62">+U483</f>
        <v>4503942</v>
      </c>
      <c r="W483" s="202" t="s">
        <v>54</v>
      </c>
      <c r="X483" s="202" t="s">
        <v>55</v>
      </c>
      <c r="Y483" s="210" t="s">
        <v>56</v>
      </c>
      <c r="Z483" s="211" t="s">
        <v>57</v>
      </c>
      <c r="AA483" s="212" t="s">
        <v>42</v>
      </c>
      <c r="AB483" s="213" t="s">
        <v>58</v>
      </c>
      <c r="AC483" s="214" t="s">
        <v>59</v>
      </c>
      <c r="AD483" s="202" t="s">
        <v>54</v>
      </c>
      <c r="AE483" s="202" t="s">
        <v>60</v>
      </c>
      <c r="AF483" s="215" t="s">
        <v>61</v>
      </c>
      <c r="AG483" s="215" t="s">
        <v>62</v>
      </c>
      <c r="AH483" s="215" t="s">
        <v>63</v>
      </c>
      <c r="AI483" s="215" t="s">
        <v>64</v>
      </c>
      <c r="AJ483" s="215" t="s">
        <v>64</v>
      </c>
      <c r="AK483" s="216" t="s">
        <v>64</v>
      </c>
    </row>
    <row r="484" spans="1:41" s="128" customFormat="1" ht="84.75" customHeight="1" x14ac:dyDescent="0.2">
      <c r="G484" s="130"/>
      <c r="H484" s="130"/>
      <c r="I484" s="38"/>
      <c r="J484" s="129"/>
      <c r="K484" s="129"/>
      <c r="L484" s="131"/>
      <c r="M484" s="132"/>
      <c r="T484" s="130"/>
      <c r="AL484" s="29"/>
      <c r="AM484" s="29"/>
      <c r="AN484" s="29"/>
      <c r="AO484" s="29"/>
    </row>
    <row r="485" spans="1:41" ht="84.75" customHeight="1" x14ac:dyDescent="0.2">
      <c r="I485" s="38"/>
      <c r="T485" s="26"/>
      <c r="U485" s="27"/>
      <c r="V485" s="28"/>
    </row>
    <row r="486" spans="1:41" ht="84.75" customHeight="1" x14ac:dyDescent="0.2">
      <c r="I486" s="38"/>
      <c r="J486" s="44"/>
      <c r="K486" s="245" t="s">
        <v>1153</v>
      </c>
      <c r="L486" s="245"/>
      <c r="M486" s="245"/>
    </row>
    <row r="487" spans="1:41" ht="84.75" customHeight="1" x14ac:dyDescent="0.2">
      <c r="I487" s="39"/>
    </row>
    <row r="488" spans="1:41" ht="84.75" customHeight="1" x14ac:dyDescent="0.2">
      <c r="I488" s="38"/>
    </row>
    <row r="489" spans="1:41" ht="84.75" customHeight="1" x14ac:dyDescent="0.2">
      <c r="I489" s="40"/>
    </row>
    <row r="490" spans="1:41" ht="84.75" customHeight="1" x14ac:dyDescent="0.2">
      <c r="I490" s="38"/>
    </row>
    <row r="491" spans="1:41" ht="84.75" customHeight="1" x14ac:dyDescent="0.2">
      <c r="I491" s="217">
        <f>I487-I490</f>
        <v>0</v>
      </c>
    </row>
    <row r="493" spans="1:41" ht="84.75" customHeight="1" x14ac:dyDescent="0.2">
      <c r="I493" s="38"/>
    </row>
  </sheetData>
  <autoFilter ref="B16:AK486" xr:uid="{00000000-0009-0000-0000-000000000000}"/>
  <mergeCells count="73">
    <mergeCell ref="N220:N222"/>
    <mergeCell ref="N216:N218"/>
    <mergeCell ref="N214:N215"/>
    <mergeCell ref="AA6:AD6"/>
    <mergeCell ref="AA7:AD7"/>
    <mergeCell ref="AA8:AD8"/>
    <mergeCell ref="AA9:AD9"/>
    <mergeCell ref="AA10:AD10"/>
    <mergeCell ref="AA11:AD11"/>
    <mergeCell ref="M245:M246"/>
    <mergeCell ref="M241:M242"/>
    <mergeCell ref="N241:N242"/>
    <mergeCell ref="K486:M486"/>
    <mergeCell ref="B3:AK5"/>
    <mergeCell ref="N50:N52"/>
    <mergeCell ref="N53:N54"/>
    <mergeCell ref="N292:N294"/>
    <mergeCell ref="N323:N324"/>
    <mergeCell ref="N357:N359"/>
    <mergeCell ref="N78:N80"/>
    <mergeCell ref="N65:N67"/>
    <mergeCell ref="N63:N64"/>
    <mergeCell ref="N61:N62"/>
    <mergeCell ref="N234:N236"/>
    <mergeCell ref="N226:N228"/>
    <mergeCell ref="M55:M57"/>
    <mergeCell ref="N55:N57"/>
    <mergeCell ref="N210:N211"/>
    <mergeCell ref="N189:N190"/>
    <mergeCell ref="N163:N164"/>
    <mergeCell ref="M163:M164"/>
    <mergeCell ref="N88:N90"/>
    <mergeCell ref="M88:M90"/>
    <mergeCell ref="S241:S242"/>
    <mergeCell ref="Q245:Q246"/>
    <mergeCell ref="R245:R246"/>
    <mergeCell ref="S245:S246"/>
    <mergeCell ref="N256:N262"/>
    <mergeCell ref="N253:N255"/>
    <mergeCell ref="N245:N246"/>
    <mergeCell ref="P241:P242"/>
    <mergeCell ref="O245:O246"/>
    <mergeCell ref="P245:P246"/>
    <mergeCell ref="Q241:Q242"/>
    <mergeCell ref="R241:R242"/>
    <mergeCell ref="N406:N411"/>
    <mergeCell ref="N451:N456"/>
    <mergeCell ref="N457:N459"/>
    <mergeCell ref="N461:N462"/>
    <mergeCell ref="O241:O242"/>
    <mergeCell ref="N469:N470"/>
    <mergeCell ref="N439:N441"/>
    <mergeCell ref="N425:N426"/>
    <mergeCell ref="M463:M467"/>
    <mergeCell ref="N463:N467"/>
    <mergeCell ref="M443:M446"/>
    <mergeCell ref="N443:N446"/>
    <mergeCell ref="N318:N319"/>
    <mergeCell ref="M406:M411"/>
    <mergeCell ref="M357:M359"/>
    <mergeCell ref="M367:M368"/>
    <mergeCell ref="N367:N368"/>
    <mergeCell ref="N375:N376"/>
    <mergeCell ref="N378:N382"/>
    <mergeCell ref="M378:M382"/>
    <mergeCell ref="N383:N387"/>
    <mergeCell ref="N388:N391"/>
    <mergeCell ref="N392:N393"/>
    <mergeCell ref="N394:N395"/>
    <mergeCell ref="M345:M348"/>
    <mergeCell ref="N345:N348"/>
    <mergeCell ref="M350:M352"/>
    <mergeCell ref="N350:N352"/>
  </mergeCells>
  <dataValidations count="1">
    <dataValidation type="list" allowBlank="1" showInputMessage="1" showErrorMessage="1" sqref="X476 W481:W482 AD17:AE482 W17:W474" xr:uid="{00000000-0002-0000-0000-000000000000}">
      <formula1>"SI,NO"</formula1>
    </dataValidation>
  </dataValidations>
  <printOptions horizontalCentered="1"/>
  <pageMargins left="0.23622047244094491" right="0.23622047244094491" top="0.55118110236220474" bottom="0.55118110236220474" header="0.31496062992125984" footer="0.31496062992125984"/>
  <pageSetup paperSize="3" scale="10" fitToHeight="0" orientation="landscape" r:id="rId1"/>
  <headerFooter>
    <oddFooter>Página &amp;P de &amp;F</oddFooter>
  </headerFooter>
  <rowBreaks count="1" manualBreakCount="1">
    <brk id="339" max="35"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'F:\Proyectopresupuesto_2023\docuemntos finales para resolucion\[Presupuesto_para_resolución.xlsx]LISTAS'!#REF!</xm:f>
          </x14:formula1>
          <xm:sqref>E415 C147:D149 C405:D405 C45:D45</xm:sqref>
        </x14:dataValidation>
        <x14:dataValidation type="list" allowBlank="1" showInputMessage="1" showErrorMessage="1" xr:uid="{00000000-0002-0000-0000-000002000000}">
          <x14:formula1>
            <xm:f>'E:\Copia 171119\Copia 060718\DATOS\MisDocumentos\Plan de Compras\Plan de Compras 2023\[Formato PAA Funcionamiento 2023.xlsx]Listas'!#REF!</xm:f>
          </x14:formula1>
          <xm:sqref>O229:P238 O165:P188 O225:P225 O197:P213 O17:P49 O262:P266 O287:P291 O268:P270 O274:P280 O68:P77 O191:P194 O53:P64 O223:P223 O216:P219 O404:P404 T415 S416 O282:P283 O91:P92 O247:P255 O240:P241 O243:P245 S243:S245 O81:P87 O295:P316 S247:S414 S481:S482 X481:X482 AH449:AH482 X17:X416 AH17:AH416 S17:S241 S418:S446 X418:X446 AH418:AH446 S449:S478 X449:X474 O94:P140 O143:P160</xm:sqref>
        </x14:dataValidation>
        <x14:dataValidation type="list" allowBlank="1" showInputMessage="1" showErrorMessage="1" errorTitle="Atención" error="El valor que intenta escribir es superior al total asignado para este objeto de gasto" xr:uid="{00000000-0002-0000-0000-000003000000}">
          <x14:formula1>
            <xm:f>'E:\Copia 171119\Copia 060718\DATOS\MisDocumentos\Plan de Compras\Plan de Compras 2023\[Formato PAA Funcionamiento 2023.xlsx]Listas'!#REF!</xm:f>
          </x14:formula1>
          <xm:sqref>AI17:AK416 AF17:AG416 AF418:AG446 AI418:AK446 AF449:AG482 AI449:AK482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75"/>
  <sheetViews>
    <sheetView workbookViewId="0">
      <selection activeCell="B16" sqref="B16"/>
    </sheetView>
  </sheetViews>
  <sheetFormatPr baseColWidth="10" defaultRowHeight="15" x14ac:dyDescent="0.25"/>
  <cols>
    <col min="2" max="2" width="38.85546875" style="48" customWidth="1"/>
    <col min="3" max="3" width="21.28515625" customWidth="1"/>
    <col min="4" max="4" width="19.5703125" customWidth="1"/>
    <col min="6" max="6" width="22.140625" style="48" customWidth="1"/>
    <col min="7" max="7" width="12.140625" bestFit="1" customWidth="1"/>
    <col min="8" max="8" width="11.42578125" style="48"/>
    <col min="10" max="10" width="11.5703125" bestFit="1" customWidth="1"/>
    <col min="11" max="11" width="13.42578125" bestFit="1" customWidth="1"/>
    <col min="12" max="12" width="11.5703125" bestFit="1" customWidth="1"/>
  </cols>
  <sheetData>
    <row r="1" spans="2:13" ht="15.75" thickBot="1" x14ac:dyDescent="0.3">
      <c r="C1" s="253" t="s">
        <v>1199</v>
      </c>
      <c r="D1" s="253"/>
      <c r="E1" s="253"/>
      <c r="F1" s="253" t="s">
        <v>1200</v>
      </c>
      <c r="G1" s="253"/>
      <c r="H1" s="253"/>
    </row>
    <row r="2" spans="2:13" ht="23.25" thickBot="1" x14ac:dyDescent="0.3">
      <c r="B2" s="71"/>
      <c r="C2" s="51" t="s">
        <v>1198</v>
      </c>
      <c r="D2" s="51" t="s">
        <v>14</v>
      </c>
      <c r="E2" s="52" t="s">
        <v>17</v>
      </c>
      <c r="F2" s="51" t="s">
        <v>1198</v>
      </c>
      <c r="G2" s="53" t="s">
        <v>14</v>
      </c>
      <c r="H2" s="54" t="s">
        <v>17</v>
      </c>
      <c r="I2" s="49"/>
      <c r="J2" s="49"/>
      <c r="K2" s="49"/>
      <c r="L2" s="49"/>
      <c r="M2" s="49"/>
    </row>
    <row r="3" spans="2:13" s="79" customFormat="1" x14ac:dyDescent="0.25">
      <c r="B3" s="83"/>
      <c r="C3" s="74" t="s">
        <v>45</v>
      </c>
      <c r="D3" s="75">
        <v>350000000</v>
      </c>
      <c r="E3" s="76" t="s">
        <v>49</v>
      </c>
      <c r="F3" s="77" t="s">
        <v>45</v>
      </c>
      <c r="G3" s="75">
        <v>230000000</v>
      </c>
      <c r="H3" s="76" t="s">
        <v>49</v>
      </c>
      <c r="I3" s="73"/>
      <c r="J3" s="78">
        <f t="shared" ref="J3:J34" si="0">G3-D3</f>
        <v>-120000000</v>
      </c>
      <c r="K3" s="73" t="s">
        <v>1155</v>
      </c>
      <c r="L3" s="73"/>
      <c r="M3" s="73"/>
    </row>
    <row r="4" spans="2:13" s="79" customFormat="1" x14ac:dyDescent="0.25">
      <c r="B4" s="83"/>
      <c r="C4" s="74" t="s">
        <v>65</v>
      </c>
      <c r="D4" s="75">
        <v>460000000</v>
      </c>
      <c r="E4" s="76" t="s">
        <v>49</v>
      </c>
      <c r="F4" s="77" t="s">
        <v>65</v>
      </c>
      <c r="G4" s="75">
        <v>290000000</v>
      </c>
      <c r="H4" s="76" t="s">
        <v>49</v>
      </c>
      <c r="I4" s="73"/>
      <c r="J4" s="78">
        <f t="shared" si="0"/>
        <v>-170000000</v>
      </c>
      <c r="K4" s="73" t="s">
        <v>1155</v>
      </c>
      <c r="L4" s="73"/>
      <c r="M4" s="73"/>
    </row>
    <row r="5" spans="2:13" x14ac:dyDescent="0.25">
      <c r="B5" s="71"/>
      <c r="C5" s="55" t="s">
        <v>68</v>
      </c>
      <c r="D5" s="56">
        <v>2109731</v>
      </c>
      <c r="E5" s="57" t="s">
        <v>70</v>
      </c>
      <c r="F5" s="58" t="s">
        <v>68</v>
      </c>
      <c r="G5" s="56">
        <v>2109731</v>
      </c>
      <c r="H5" s="57" t="s">
        <v>70</v>
      </c>
      <c r="I5" s="49"/>
      <c r="J5" s="50">
        <f t="shared" si="0"/>
        <v>0</v>
      </c>
      <c r="K5" s="49"/>
      <c r="L5" s="49"/>
      <c r="M5" s="49"/>
    </row>
    <row r="6" spans="2:13" x14ac:dyDescent="0.25">
      <c r="B6" s="71"/>
      <c r="C6" s="55" t="s">
        <v>72</v>
      </c>
      <c r="D6" s="56">
        <v>8000000</v>
      </c>
      <c r="E6" s="57" t="s">
        <v>70</v>
      </c>
      <c r="F6" s="58" t="s">
        <v>72</v>
      </c>
      <c r="G6" s="56">
        <v>8000000</v>
      </c>
      <c r="H6" s="57" t="s">
        <v>70</v>
      </c>
      <c r="I6" s="49"/>
      <c r="J6" s="50">
        <f t="shared" si="0"/>
        <v>0</v>
      </c>
      <c r="K6" s="49"/>
      <c r="L6" s="49"/>
      <c r="M6" s="49"/>
    </row>
    <row r="7" spans="2:13" x14ac:dyDescent="0.25">
      <c r="B7" s="71"/>
      <c r="C7" s="55" t="s">
        <v>75</v>
      </c>
      <c r="D7" s="56">
        <v>5000000</v>
      </c>
      <c r="E7" s="57" t="s">
        <v>70</v>
      </c>
      <c r="F7" s="58" t="s">
        <v>75</v>
      </c>
      <c r="G7" s="56">
        <v>5000000</v>
      </c>
      <c r="H7" s="57" t="s">
        <v>70</v>
      </c>
      <c r="I7" s="49"/>
      <c r="J7" s="50">
        <f t="shared" si="0"/>
        <v>0</v>
      </c>
      <c r="K7" s="49"/>
      <c r="L7" s="49"/>
      <c r="M7" s="49"/>
    </row>
    <row r="8" spans="2:13" x14ac:dyDescent="0.25">
      <c r="B8" s="71"/>
      <c r="C8" s="55" t="s">
        <v>78</v>
      </c>
      <c r="D8" s="56">
        <v>15000000</v>
      </c>
      <c r="E8" s="57" t="s">
        <v>70</v>
      </c>
      <c r="F8" s="58" t="s">
        <v>78</v>
      </c>
      <c r="G8" s="56">
        <v>15000000</v>
      </c>
      <c r="H8" s="57" t="s">
        <v>70</v>
      </c>
      <c r="I8" s="49"/>
      <c r="J8" s="50">
        <f t="shared" si="0"/>
        <v>0</v>
      </c>
      <c r="K8" s="49"/>
      <c r="L8" s="49"/>
      <c r="M8" s="49"/>
    </row>
    <row r="9" spans="2:13" x14ac:dyDescent="0.25">
      <c r="B9" s="71"/>
      <c r="C9" s="55" t="s">
        <v>81</v>
      </c>
      <c r="D9" s="56">
        <v>5000000</v>
      </c>
      <c r="E9" s="57" t="s">
        <v>70</v>
      </c>
      <c r="F9" s="58" t="s">
        <v>81</v>
      </c>
      <c r="G9" s="56">
        <v>5000000</v>
      </c>
      <c r="H9" s="57" t="s">
        <v>70</v>
      </c>
      <c r="I9" s="49"/>
      <c r="J9" s="50">
        <f t="shared" si="0"/>
        <v>0</v>
      </c>
      <c r="K9" s="49"/>
      <c r="L9" s="49"/>
      <c r="M9" s="49"/>
    </row>
    <row r="10" spans="2:13" x14ac:dyDescent="0.25">
      <c r="B10" s="71"/>
      <c r="C10" s="55" t="s">
        <v>84</v>
      </c>
      <c r="D10" s="56">
        <f>6000000+2500000</f>
        <v>8500000</v>
      </c>
      <c r="E10" s="57" t="s">
        <v>70</v>
      </c>
      <c r="F10" s="58" t="s">
        <v>84</v>
      </c>
      <c r="G10" s="56">
        <f>6000000+2500000</f>
        <v>8500000</v>
      </c>
      <c r="H10" s="57" t="s">
        <v>70</v>
      </c>
      <c r="I10" s="49"/>
      <c r="J10" s="50">
        <f t="shared" si="0"/>
        <v>0</v>
      </c>
      <c r="K10" s="49"/>
      <c r="L10" s="49"/>
      <c r="M10" s="49"/>
    </row>
    <row r="11" spans="2:13" x14ac:dyDescent="0.25">
      <c r="B11" s="71"/>
      <c r="C11" s="55" t="s">
        <v>87</v>
      </c>
      <c r="D11" s="56">
        <v>4000000</v>
      </c>
      <c r="E11" s="57" t="s">
        <v>70</v>
      </c>
      <c r="F11" s="58" t="s">
        <v>87</v>
      </c>
      <c r="G11" s="56">
        <v>4000000</v>
      </c>
      <c r="H11" s="57" t="s">
        <v>70</v>
      </c>
      <c r="I11" s="49"/>
      <c r="J11" s="50">
        <f t="shared" si="0"/>
        <v>0</v>
      </c>
      <c r="K11" s="49"/>
      <c r="L11" s="49"/>
      <c r="M11" s="49"/>
    </row>
    <row r="12" spans="2:13" x14ac:dyDescent="0.25">
      <c r="B12" s="71"/>
      <c r="C12" s="55" t="s">
        <v>90</v>
      </c>
      <c r="D12" s="56">
        <v>5000000</v>
      </c>
      <c r="E12" s="57" t="s">
        <v>70</v>
      </c>
      <c r="F12" s="58" t="s">
        <v>90</v>
      </c>
      <c r="G12" s="56">
        <v>5000000</v>
      </c>
      <c r="H12" s="57" t="s">
        <v>70</v>
      </c>
      <c r="I12" s="49"/>
      <c r="J12" s="50">
        <f t="shared" si="0"/>
        <v>0</v>
      </c>
      <c r="K12" s="49"/>
      <c r="L12" s="49"/>
      <c r="M12" s="49"/>
    </row>
    <row r="13" spans="2:13" x14ac:dyDescent="0.25">
      <c r="B13" s="71"/>
      <c r="C13" s="55" t="s">
        <v>93</v>
      </c>
      <c r="D13" s="56">
        <v>5000000</v>
      </c>
      <c r="E13" s="57" t="s">
        <v>70</v>
      </c>
      <c r="F13" s="58" t="s">
        <v>93</v>
      </c>
      <c r="G13" s="56">
        <v>5000000</v>
      </c>
      <c r="H13" s="57" t="s">
        <v>70</v>
      </c>
      <c r="I13" s="49"/>
      <c r="J13" s="50">
        <f t="shared" si="0"/>
        <v>0</v>
      </c>
      <c r="K13" s="49"/>
      <c r="L13" s="49"/>
      <c r="M13" s="49"/>
    </row>
    <row r="14" spans="2:13" x14ac:dyDescent="0.25">
      <c r="B14" s="71"/>
      <c r="C14" s="55" t="s">
        <v>96</v>
      </c>
      <c r="D14" s="56">
        <v>2000000</v>
      </c>
      <c r="E14" s="57" t="s">
        <v>70</v>
      </c>
      <c r="F14" s="58" t="s">
        <v>96</v>
      </c>
      <c r="G14" s="56">
        <v>2000000</v>
      </c>
      <c r="H14" s="57" t="s">
        <v>70</v>
      </c>
      <c r="I14" s="49"/>
      <c r="J14" s="50">
        <f t="shared" si="0"/>
        <v>0</v>
      </c>
      <c r="K14" s="49"/>
      <c r="L14" s="49"/>
      <c r="M14" s="49"/>
    </row>
    <row r="15" spans="2:13" x14ac:dyDescent="0.25">
      <c r="B15" s="71"/>
      <c r="C15" s="55" t="s">
        <v>99</v>
      </c>
      <c r="D15" s="56">
        <f>4000000+2000000</f>
        <v>6000000</v>
      </c>
      <c r="E15" s="57" t="s">
        <v>70</v>
      </c>
      <c r="F15" s="58" t="s">
        <v>99</v>
      </c>
      <c r="G15" s="56">
        <f>4000000+2000000</f>
        <v>6000000</v>
      </c>
      <c r="H15" s="57" t="s">
        <v>70</v>
      </c>
      <c r="I15" s="49"/>
      <c r="J15" s="50">
        <f t="shared" si="0"/>
        <v>0</v>
      </c>
      <c r="K15" s="49"/>
      <c r="L15" s="49"/>
      <c r="M15" s="49"/>
    </row>
    <row r="16" spans="2:13" x14ac:dyDescent="0.25">
      <c r="B16" s="71"/>
      <c r="C16" s="55" t="s">
        <v>102</v>
      </c>
      <c r="D16" s="56">
        <f>2000000+1500000</f>
        <v>3500000</v>
      </c>
      <c r="E16" s="57" t="s">
        <v>70</v>
      </c>
      <c r="F16" s="58" t="s">
        <v>102</v>
      </c>
      <c r="G16" s="56">
        <f>2000000+1500000</f>
        <v>3500000</v>
      </c>
      <c r="H16" s="57" t="s">
        <v>70</v>
      </c>
      <c r="I16" s="49"/>
      <c r="J16" s="50">
        <f t="shared" si="0"/>
        <v>0</v>
      </c>
      <c r="K16" s="49"/>
      <c r="L16" s="49"/>
      <c r="M16" s="49"/>
    </row>
    <row r="17" spans="2:13" x14ac:dyDescent="0.25">
      <c r="B17" s="71"/>
      <c r="C17" s="55" t="s">
        <v>105</v>
      </c>
      <c r="D17" s="56">
        <v>3000000</v>
      </c>
      <c r="E17" s="57" t="s">
        <v>70</v>
      </c>
      <c r="F17" s="58" t="s">
        <v>105</v>
      </c>
      <c r="G17" s="56">
        <v>3000000</v>
      </c>
      <c r="H17" s="57" t="s">
        <v>70</v>
      </c>
      <c r="I17" s="49"/>
      <c r="J17" s="50">
        <f t="shared" si="0"/>
        <v>0</v>
      </c>
      <c r="K17" s="49"/>
      <c r="L17" s="49"/>
      <c r="M17" s="49"/>
    </row>
    <row r="18" spans="2:13" x14ac:dyDescent="0.25">
      <c r="B18" s="71"/>
      <c r="C18" s="55" t="s">
        <v>108</v>
      </c>
      <c r="D18" s="56">
        <f>20000000-9000000</f>
        <v>11000000</v>
      </c>
      <c r="E18" s="57" t="s">
        <v>70</v>
      </c>
      <c r="F18" s="58" t="s">
        <v>108</v>
      </c>
      <c r="G18" s="56">
        <f>20000000-9000000</f>
        <v>11000000</v>
      </c>
      <c r="H18" s="57" t="s">
        <v>70</v>
      </c>
      <c r="I18" s="49"/>
      <c r="J18" s="50">
        <f t="shared" si="0"/>
        <v>0</v>
      </c>
      <c r="K18" s="49"/>
      <c r="L18" s="49"/>
      <c r="M18" s="49"/>
    </row>
    <row r="19" spans="2:13" x14ac:dyDescent="0.25">
      <c r="B19" s="71"/>
      <c r="C19" s="55" t="s">
        <v>111</v>
      </c>
      <c r="D19" s="56">
        <f>129500000+500000</f>
        <v>130000000</v>
      </c>
      <c r="E19" s="57" t="s">
        <v>70</v>
      </c>
      <c r="F19" s="58" t="s">
        <v>111</v>
      </c>
      <c r="G19" s="56">
        <f>129500000+500000</f>
        <v>130000000</v>
      </c>
      <c r="H19" s="57" t="s">
        <v>70</v>
      </c>
      <c r="I19" s="49"/>
      <c r="J19" s="50">
        <f t="shared" si="0"/>
        <v>0</v>
      </c>
      <c r="K19" s="49"/>
      <c r="L19" s="56"/>
      <c r="M19" s="49"/>
    </row>
    <row r="20" spans="2:13" s="79" customFormat="1" x14ac:dyDescent="0.25">
      <c r="B20" s="83" t="s">
        <v>1157</v>
      </c>
      <c r="C20" s="74" t="s">
        <v>114</v>
      </c>
      <c r="D20" s="75">
        <v>77000000</v>
      </c>
      <c r="E20" s="76" t="s">
        <v>70</v>
      </c>
      <c r="F20" s="77" t="s">
        <v>114</v>
      </c>
      <c r="G20" s="75">
        <v>76500000</v>
      </c>
      <c r="H20" s="76" t="s">
        <v>70</v>
      </c>
      <c r="I20" s="73"/>
      <c r="J20" s="78">
        <f t="shared" si="0"/>
        <v>-500000</v>
      </c>
      <c r="K20" s="73" t="s">
        <v>1156</v>
      </c>
      <c r="L20" s="75">
        <v>77500000</v>
      </c>
      <c r="M20" s="73"/>
    </row>
    <row r="21" spans="2:13" x14ac:dyDescent="0.25">
      <c r="B21" s="71"/>
      <c r="C21" s="55" t="s">
        <v>117</v>
      </c>
      <c r="D21" s="56">
        <f>139000000+40000000+3224025+100000-(5000000)</f>
        <v>177324025</v>
      </c>
      <c r="E21" s="57" t="s">
        <v>70</v>
      </c>
      <c r="F21" s="58" t="s">
        <v>117</v>
      </c>
      <c r="G21" s="56">
        <f>139000000+40000000+3224025+100000-(5000000)</f>
        <v>177324025</v>
      </c>
      <c r="H21" s="57" t="s">
        <v>70</v>
      </c>
      <c r="I21" s="49"/>
      <c r="J21" s="50">
        <f t="shared" si="0"/>
        <v>0</v>
      </c>
      <c r="K21" s="49"/>
      <c r="L21" s="56"/>
      <c r="M21" s="49"/>
    </row>
    <row r="22" spans="2:13" s="79" customFormat="1" x14ac:dyDescent="0.25">
      <c r="B22" s="83" t="s">
        <v>1157</v>
      </c>
      <c r="C22" s="74" t="s">
        <v>120</v>
      </c>
      <c r="D22" s="75">
        <f>10000000+3000000+400000+9130000</f>
        <v>22530000</v>
      </c>
      <c r="E22" s="76" t="s">
        <v>70</v>
      </c>
      <c r="F22" s="77" t="s">
        <v>120</v>
      </c>
      <c r="G22" s="75">
        <f>10000000+3000000+400000+9130000</f>
        <v>22530000</v>
      </c>
      <c r="H22" s="76" t="s">
        <v>70</v>
      </c>
      <c r="I22" s="73"/>
      <c r="J22" s="78">
        <f t="shared" si="0"/>
        <v>0</v>
      </c>
      <c r="K22" s="73"/>
      <c r="L22" s="75"/>
      <c r="M22" s="73"/>
    </row>
    <row r="23" spans="2:13" s="79" customFormat="1" x14ac:dyDescent="0.25">
      <c r="B23" s="83" t="s">
        <v>1157</v>
      </c>
      <c r="C23" s="74" t="s">
        <v>123</v>
      </c>
      <c r="D23" s="75">
        <v>97000000</v>
      </c>
      <c r="E23" s="76" t="s">
        <v>70</v>
      </c>
      <c r="F23" s="77" t="s">
        <v>123</v>
      </c>
      <c r="G23" s="75">
        <v>96500000</v>
      </c>
      <c r="H23" s="76" t="s">
        <v>70</v>
      </c>
      <c r="I23" s="73"/>
      <c r="J23" s="78">
        <f t="shared" si="0"/>
        <v>-500000</v>
      </c>
      <c r="K23" s="73"/>
      <c r="L23" s="75">
        <v>96500000</v>
      </c>
      <c r="M23" s="73"/>
    </row>
    <row r="24" spans="2:13" x14ac:dyDescent="0.25">
      <c r="B24" s="71"/>
      <c r="C24" s="55" t="s">
        <v>126</v>
      </c>
      <c r="D24" s="56">
        <v>10000000</v>
      </c>
      <c r="E24" s="57" t="s">
        <v>70</v>
      </c>
      <c r="F24" s="58" t="s">
        <v>126</v>
      </c>
      <c r="G24" s="56">
        <v>10000000</v>
      </c>
      <c r="H24" s="57" t="s">
        <v>70</v>
      </c>
      <c r="I24" s="49"/>
      <c r="J24" s="50">
        <f t="shared" si="0"/>
        <v>0</v>
      </c>
      <c r="K24" s="49"/>
      <c r="L24" s="49"/>
      <c r="M24" s="49"/>
    </row>
    <row r="25" spans="2:13" x14ac:dyDescent="0.25">
      <c r="B25" s="71"/>
      <c r="C25" s="55" t="s">
        <v>128</v>
      </c>
      <c r="D25" s="56">
        <v>40000000</v>
      </c>
      <c r="E25" s="57" t="s">
        <v>70</v>
      </c>
      <c r="F25" s="58" t="s">
        <v>128</v>
      </c>
      <c r="G25" s="56">
        <v>40000000</v>
      </c>
      <c r="H25" s="57" t="s">
        <v>70</v>
      </c>
      <c r="I25" s="49"/>
      <c r="J25" s="50">
        <f t="shared" si="0"/>
        <v>0</v>
      </c>
      <c r="K25" s="49"/>
      <c r="L25" s="49"/>
      <c r="M25" s="49"/>
    </row>
    <row r="26" spans="2:13" s="79" customFormat="1" x14ac:dyDescent="0.25">
      <c r="B26" s="83" t="s">
        <v>1157</v>
      </c>
      <c r="C26" s="74" t="s">
        <v>128</v>
      </c>
      <c r="D26" s="75">
        <v>238400</v>
      </c>
      <c r="E26" s="76" t="s">
        <v>70</v>
      </c>
      <c r="F26" s="77" t="s">
        <v>128</v>
      </c>
      <c r="G26" s="75">
        <v>1000000</v>
      </c>
      <c r="H26" s="76" t="s">
        <v>70</v>
      </c>
      <c r="I26" s="73"/>
      <c r="J26" s="78">
        <f t="shared" si="0"/>
        <v>761600</v>
      </c>
      <c r="K26" s="73"/>
      <c r="L26" s="73">
        <v>1000000</v>
      </c>
      <c r="M26" s="73" t="s">
        <v>131</v>
      </c>
    </row>
    <row r="27" spans="2:13" x14ac:dyDescent="0.25">
      <c r="B27" s="71"/>
      <c r="C27" s="55" t="s">
        <v>111</v>
      </c>
      <c r="D27" s="56">
        <v>1000000</v>
      </c>
      <c r="E27" s="57" t="s">
        <v>70</v>
      </c>
      <c r="F27" s="58" t="s">
        <v>111</v>
      </c>
      <c r="G27" s="56">
        <v>1000000</v>
      </c>
      <c r="H27" s="57" t="s">
        <v>70</v>
      </c>
      <c r="I27" s="49"/>
      <c r="J27" s="50">
        <f t="shared" si="0"/>
        <v>0</v>
      </c>
      <c r="K27" s="49"/>
      <c r="L27" s="49"/>
      <c r="M27" s="49"/>
    </row>
    <row r="28" spans="2:13" x14ac:dyDescent="0.25">
      <c r="B28" s="71"/>
      <c r="C28" s="55" t="s">
        <v>114</v>
      </c>
      <c r="D28" s="56">
        <v>1000000</v>
      </c>
      <c r="E28" s="57" t="s">
        <v>70</v>
      </c>
      <c r="F28" s="58" t="s">
        <v>114</v>
      </c>
      <c r="G28" s="56">
        <v>1000000</v>
      </c>
      <c r="H28" s="57" t="s">
        <v>70</v>
      </c>
      <c r="I28" s="49"/>
      <c r="J28" s="50">
        <f t="shared" si="0"/>
        <v>0</v>
      </c>
      <c r="K28" s="49"/>
      <c r="L28" s="49"/>
      <c r="M28" s="49"/>
    </row>
    <row r="29" spans="2:13" x14ac:dyDescent="0.25">
      <c r="B29" s="71"/>
      <c r="C29" s="55" t="s">
        <v>128</v>
      </c>
      <c r="D29" s="56">
        <v>1000000</v>
      </c>
      <c r="E29" s="57" t="s">
        <v>70</v>
      </c>
      <c r="F29" s="58" t="s">
        <v>128</v>
      </c>
      <c r="G29" s="56">
        <v>1000000</v>
      </c>
      <c r="H29" s="57" t="s">
        <v>70</v>
      </c>
      <c r="I29" s="49"/>
      <c r="J29" s="50">
        <f t="shared" si="0"/>
        <v>0</v>
      </c>
      <c r="K29" s="49"/>
      <c r="L29" s="49"/>
      <c r="M29" s="49"/>
    </row>
    <row r="30" spans="2:13" x14ac:dyDescent="0.25">
      <c r="B30" s="71"/>
      <c r="C30" s="55" t="s">
        <v>138</v>
      </c>
      <c r="D30" s="56">
        <v>6000000</v>
      </c>
      <c r="E30" s="57" t="s">
        <v>70</v>
      </c>
      <c r="F30" s="58" t="s">
        <v>138</v>
      </c>
      <c r="G30" s="56">
        <v>6000000</v>
      </c>
      <c r="H30" s="57" t="s">
        <v>70</v>
      </c>
      <c r="I30" s="49"/>
      <c r="J30" s="50">
        <f t="shared" si="0"/>
        <v>0</v>
      </c>
      <c r="K30" s="49"/>
      <c r="L30" s="49"/>
      <c r="M30" s="49"/>
    </row>
    <row r="31" spans="2:13" x14ac:dyDescent="0.25">
      <c r="B31" s="71"/>
      <c r="C31" s="55" t="s">
        <v>120</v>
      </c>
      <c r="D31" s="56">
        <f>7644000-(1975000+1647574)</f>
        <v>4021426</v>
      </c>
      <c r="E31" s="57" t="s">
        <v>143</v>
      </c>
      <c r="F31" s="58" t="s">
        <v>120</v>
      </c>
      <c r="G31" s="56">
        <f>7644000-(1975000+1647574)</f>
        <v>4021426</v>
      </c>
      <c r="H31" s="57" t="s">
        <v>143</v>
      </c>
      <c r="I31" s="49"/>
      <c r="J31" s="50">
        <f t="shared" si="0"/>
        <v>0</v>
      </c>
      <c r="K31" s="49"/>
      <c r="L31" s="49"/>
      <c r="M31" s="49"/>
    </row>
    <row r="32" spans="2:13" x14ac:dyDescent="0.25">
      <c r="B32" s="71"/>
      <c r="C32" s="55" t="s">
        <v>111</v>
      </c>
      <c r="D32" s="56">
        <v>2000000</v>
      </c>
      <c r="E32" s="57" t="s">
        <v>70</v>
      </c>
      <c r="F32" s="58" t="s">
        <v>111</v>
      </c>
      <c r="G32" s="56">
        <v>2000000</v>
      </c>
      <c r="H32" s="57" t="s">
        <v>70</v>
      </c>
      <c r="I32" s="49"/>
      <c r="J32" s="50">
        <f t="shared" si="0"/>
        <v>0</v>
      </c>
      <c r="K32" s="49"/>
      <c r="L32" s="49"/>
      <c r="M32" s="49"/>
    </row>
    <row r="33" spans="2:13" x14ac:dyDescent="0.25">
      <c r="B33" s="71"/>
      <c r="C33" s="55" t="s">
        <v>147</v>
      </c>
      <c r="D33" s="56">
        <v>0</v>
      </c>
      <c r="E33" s="57" t="s">
        <v>70</v>
      </c>
      <c r="F33" s="58" t="s">
        <v>147</v>
      </c>
      <c r="G33" s="56">
        <v>0</v>
      </c>
      <c r="H33" s="57" t="s">
        <v>70</v>
      </c>
      <c r="I33" s="49"/>
      <c r="J33" s="50">
        <f t="shared" si="0"/>
        <v>0</v>
      </c>
      <c r="K33" s="49"/>
      <c r="L33" s="49"/>
      <c r="M33" s="49"/>
    </row>
    <row r="34" spans="2:13" s="79" customFormat="1" ht="33.75" x14ac:dyDescent="0.25">
      <c r="B34" s="83"/>
      <c r="C34" s="74" t="s">
        <v>151</v>
      </c>
      <c r="D34" s="75">
        <v>0</v>
      </c>
      <c r="E34" s="76" t="s">
        <v>153</v>
      </c>
      <c r="F34" s="77" t="s">
        <v>151</v>
      </c>
      <c r="G34" s="75">
        <v>0</v>
      </c>
      <c r="H34" s="76" t="s">
        <v>153</v>
      </c>
      <c r="I34" s="73"/>
      <c r="J34" s="78">
        <f t="shared" si="0"/>
        <v>0</v>
      </c>
      <c r="K34" s="73" t="s">
        <v>1155</v>
      </c>
      <c r="L34" s="73"/>
      <c r="M34" s="73"/>
    </row>
    <row r="35" spans="2:13" x14ac:dyDescent="0.25">
      <c r="B35" s="71"/>
      <c r="C35" s="55" t="s">
        <v>78</v>
      </c>
      <c r="D35" s="56">
        <v>30000000</v>
      </c>
      <c r="E35" s="57" t="s">
        <v>158</v>
      </c>
      <c r="F35" s="58" t="s">
        <v>78</v>
      </c>
      <c r="G35" s="56">
        <v>30000000</v>
      </c>
      <c r="H35" s="57" t="s">
        <v>158</v>
      </c>
      <c r="I35" s="49"/>
      <c r="J35" s="50">
        <f t="shared" ref="J35:J66" si="1">G35-D35</f>
        <v>0</v>
      </c>
      <c r="K35" s="49"/>
      <c r="L35" s="49"/>
      <c r="M35" s="49"/>
    </row>
    <row r="36" spans="2:13" x14ac:dyDescent="0.25">
      <c r="B36" s="71"/>
      <c r="C36" s="55" t="s">
        <v>160</v>
      </c>
      <c r="D36" s="56"/>
      <c r="E36" s="57" t="s">
        <v>163</v>
      </c>
      <c r="F36" s="58" t="s">
        <v>160</v>
      </c>
      <c r="G36" s="59">
        <f>10920000-(G334+8920000)</f>
        <v>0</v>
      </c>
      <c r="H36" s="60" t="s">
        <v>163</v>
      </c>
      <c r="I36" s="49"/>
      <c r="J36" s="50">
        <f t="shared" si="1"/>
        <v>0</v>
      </c>
      <c r="K36" s="49"/>
      <c r="L36" s="49"/>
      <c r="M36" s="49"/>
    </row>
    <row r="37" spans="2:13" x14ac:dyDescent="0.25">
      <c r="B37" s="71"/>
      <c r="C37" s="55" t="s">
        <v>111</v>
      </c>
      <c r="D37" s="56">
        <v>1836503</v>
      </c>
      <c r="E37" s="57" t="s">
        <v>163</v>
      </c>
      <c r="F37" s="58" t="s">
        <v>111</v>
      </c>
      <c r="G37" s="59">
        <f>115752000-(G335+14940000+74895497+1080000)</f>
        <v>1836503</v>
      </c>
      <c r="H37" s="60" t="s">
        <v>163</v>
      </c>
      <c r="I37" s="49"/>
      <c r="J37" s="50">
        <f t="shared" si="1"/>
        <v>0</v>
      </c>
      <c r="K37" s="49"/>
      <c r="L37" s="49"/>
      <c r="M37" s="49"/>
    </row>
    <row r="38" spans="2:13" x14ac:dyDescent="0.25">
      <c r="B38" s="71"/>
      <c r="C38" s="55" t="s">
        <v>114</v>
      </c>
      <c r="D38" s="56"/>
      <c r="E38" s="57" t="s">
        <v>163</v>
      </c>
      <c r="F38" s="58" t="s">
        <v>114</v>
      </c>
      <c r="G38" s="56">
        <f>60060000+14940000-(15000000+G336)</f>
        <v>0</v>
      </c>
      <c r="H38" s="57" t="s">
        <v>163</v>
      </c>
      <c r="I38" s="49"/>
      <c r="J38" s="50">
        <f t="shared" si="1"/>
        <v>0</v>
      </c>
      <c r="K38" s="49"/>
      <c r="L38" s="49"/>
      <c r="M38" s="49"/>
    </row>
    <row r="39" spans="2:13" x14ac:dyDescent="0.25">
      <c r="B39" s="71"/>
      <c r="C39" s="55" t="s">
        <v>114</v>
      </c>
      <c r="D39" s="56">
        <v>600000</v>
      </c>
      <c r="E39" s="57" t="s">
        <v>171</v>
      </c>
      <c r="F39" s="58" t="s">
        <v>114</v>
      </c>
      <c r="G39" s="56">
        <v>600000</v>
      </c>
      <c r="H39" s="57" t="s">
        <v>171</v>
      </c>
      <c r="I39" s="49"/>
      <c r="J39" s="50">
        <f t="shared" si="1"/>
        <v>0</v>
      </c>
      <c r="K39" s="49"/>
      <c r="L39" s="49"/>
      <c r="M39" s="49"/>
    </row>
    <row r="40" spans="2:13" x14ac:dyDescent="0.25">
      <c r="B40" s="71"/>
      <c r="C40" s="55" t="s">
        <v>111</v>
      </c>
      <c r="D40" s="56">
        <v>72000000</v>
      </c>
      <c r="E40" s="57" t="s">
        <v>171</v>
      </c>
      <c r="F40" s="58" t="s">
        <v>111</v>
      </c>
      <c r="G40" s="56">
        <v>72000000</v>
      </c>
      <c r="H40" s="57" t="s">
        <v>171</v>
      </c>
      <c r="I40" s="49"/>
      <c r="J40" s="50">
        <f t="shared" si="1"/>
        <v>0</v>
      </c>
      <c r="K40" s="49"/>
      <c r="L40" s="49"/>
      <c r="M40" s="49"/>
    </row>
    <row r="41" spans="2:13" x14ac:dyDescent="0.25">
      <c r="B41" s="71"/>
      <c r="C41" s="55" t="s">
        <v>128</v>
      </c>
      <c r="D41" s="56">
        <v>19173077</v>
      </c>
      <c r="E41" s="57" t="s">
        <v>177</v>
      </c>
      <c r="F41" s="58" t="s">
        <v>128</v>
      </c>
      <c r="G41" s="56">
        <v>19173077</v>
      </c>
      <c r="H41" s="57" t="s">
        <v>177</v>
      </c>
      <c r="I41" s="49"/>
      <c r="J41" s="50">
        <f t="shared" si="1"/>
        <v>0</v>
      </c>
      <c r="K41" s="49"/>
      <c r="L41" s="49"/>
      <c r="M41" s="49"/>
    </row>
    <row r="42" spans="2:13" x14ac:dyDescent="0.25">
      <c r="B42" s="71"/>
      <c r="C42" s="55" t="s">
        <v>111</v>
      </c>
      <c r="D42" s="56">
        <f>138629192</f>
        <v>138629192</v>
      </c>
      <c r="E42" s="57" t="s">
        <v>177</v>
      </c>
      <c r="F42" s="58" t="s">
        <v>111</v>
      </c>
      <c r="G42" s="56">
        <f>138629192</f>
        <v>138629192</v>
      </c>
      <c r="H42" s="57" t="s">
        <v>177</v>
      </c>
      <c r="I42" s="49"/>
      <c r="J42" s="50">
        <f t="shared" si="1"/>
        <v>0</v>
      </c>
      <c r="K42" s="49"/>
      <c r="L42" s="49"/>
      <c r="M42" s="49"/>
    </row>
    <row r="43" spans="2:13" x14ac:dyDescent="0.25">
      <c r="B43" s="71"/>
      <c r="C43" s="55" t="s">
        <v>114</v>
      </c>
      <c r="D43" s="56">
        <v>220000</v>
      </c>
      <c r="E43" s="57" t="s">
        <v>177</v>
      </c>
      <c r="F43" s="58" t="s">
        <v>114</v>
      </c>
      <c r="G43" s="56">
        <v>220000</v>
      </c>
      <c r="H43" s="57" t="s">
        <v>177</v>
      </c>
      <c r="I43" s="49"/>
      <c r="J43" s="50">
        <f t="shared" si="1"/>
        <v>0</v>
      </c>
      <c r="K43" s="49"/>
      <c r="L43" s="49"/>
      <c r="M43" s="49"/>
    </row>
    <row r="44" spans="2:13" x14ac:dyDescent="0.25">
      <c r="B44" s="71"/>
      <c r="C44" s="55" t="s">
        <v>128</v>
      </c>
      <c r="D44" s="56">
        <f>295000000-(D326+D327)</f>
        <v>63600000</v>
      </c>
      <c r="E44" s="57" t="s">
        <v>183</v>
      </c>
      <c r="F44" s="58" t="s">
        <v>128</v>
      </c>
      <c r="G44" s="56">
        <f>295000000-(G326+G327)</f>
        <v>63600000</v>
      </c>
      <c r="H44" s="57" t="s">
        <v>183</v>
      </c>
      <c r="I44" s="49"/>
      <c r="J44" s="50">
        <f t="shared" si="1"/>
        <v>0</v>
      </c>
      <c r="K44" s="49"/>
      <c r="L44" s="49"/>
      <c r="M44" s="49"/>
    </row>
    <row r="45" spans="2:13" x14ac:dyDescent="0.25">
      <c r="B45" s="71"/>
      <c r="C45" s="55" t="s">
        <v>128</v>
      </c>
      <c r="D45" s="56">
        <v>132000000</v>
      </c>
      <c r="E45" s="57" t="s">
        <v>187</v>
      </c>
      <c r="F45" s="58" t="s">
        <v>128</v>
      </c>
      <c r="G45" s="56">
        <v>132000000</v>
      </c>
      <c r="H45" s="57" t="s">
        <v>187</v>
      </c>
      <c r="I45" s="49"/>
      <c r="J45" s="50">
        <f t="shared" si="1"/>
        <v>0</v>
      </c>
      <c r="K45" s="49"/>
      <c r="L45" s="49"/>
      <c r="M45" s="49"/>
    </row>
    <row r="46" spans="2:13" x14ac:dyDescent="0.25">
      <c r="B46" s="71"/>
      <c r="C46" s="55" t="s">
        <v>128</v>
      </c>
      <c r="D46" s="56">
        <f>110000000-21000000</f>
        <v>89000000</v>
      </c>
      <c r="E46" s="57" t="s">
        <v>191</v>
      </c>
      <c r="F46" s="58" t="s">
        <v>128</v>
      </c>
      <c r="G46" s="56">
        <f>110000000-21000000</f>
        <v>89000000</v>
      </c>
      <c r="H46" s="57" t="s">
        <v>191</v>
      </c>
      <c r="I46" s="49"/>
      <c r="J46" s="50">
        <f t="shared" si="1"/>
        <v>0</v>
      </c>
      <c r="K46" s="49"/>
      <c r="L46" s="49"/>
      <c r="M46" s="49"/>
    </row>
    <row r="47" spans="2:13" x14ac:dyDescent="0.25">
      <c r="B47" s="71"/>
      <c r="C47" s="55" t="s">
        <v>111</v>
      </c>
      <c r="D47" s="56">
        <v>122000000</v>
      </c>
      <c r="E47" s="57" t="s">
        <v>195</v>
      </c>
      <c r="F47" s="58" t="s">
        <v>111</v>
      </c>
      <c r="G47" s="56">
        <v>122000000</v>
      </c>
      <c r="H47" s="57" t="s">
        <v>195</v>
      </c>
      <c r="I47" s="49"/>
      <c r="J47" s="50">
        <f t="shared" si="1"/>
        <v>0</v>
      </c>
      <c r="K47" s="49"/>
      <c r="L47" s="49"/>
      <c r="M47" s="49"/>
    </row>
    <row r="48" spans="2:13" x14ac:dyDescent="0.25">
      <c r="B48" s="71"/>
      <c r="C48" s="55" t="s">
        <v>128</v>
      </c>
      <c r="D48" s="56">
        <v>21000000</v>
      </c>
      <c r="E48" s="57" t="s">
        <v>195</v>
      </c>
      <c r="F48" s="58" t="s">
        <v>128</v>
      </c>
      <c r="G48" s="56">
        <v>21000000</v>
      </c>
      <c r="H48" s="57" t="s">
        <v>195</v>
      </c>
      <c r="I48" s="49"/>
      <c r="J48" s="50">
        <f t="shared" si="1"/>
        <v>0</v>
      </c>
      <c r="K48" s="49"/>
      <c r="L48" s="49"/>
      <c r="M48" s="49"/>
    </row>
    <row r="49" spans="2:13" x14ac:dyDescent="0.25">
      <c r="B49" s="71"/>
      <c r="C49" s="55" t="s">
        <v>128</v>
      </c>
      <c r="D49" s="56">
        <v>122094280</v>
      </c>
      <c r="E49" s="57" t="s">
        <v>199</v>
      </c>
      <c r="F49" s="58" t="s">
        <v>128</v>
      </c>
      <c r="G49" s="56">
        <v>122094280</v>
      </c>
      <c r="H49" s="57" t="s">
        <v>199</v>
      </c>
      <c r="I49" s="49"/>
      <c r="J49" s="50">
        <f t="shared" si="1"/>
        <v>0</v>
      </c>
      <c r="K49" s="49"/>
      <c r="L49" s="49"/>
      <c r="M49" s="49"/>
    </row>
    <row r="50" spans="2:13" x14ac:dyDescent="0.25">
      <c r="B50" s="71"/>
      <c r="C50" s="55" t="s">
        <v>111</v>
      </c>
      <c r="D50" s="56">
        <v>22134209</v>
      </c>
      <c r="E50" s="57" t="s">
        <v>199</v>
      </c>
      <c r="F50" s="58" t="s">
        <v>111</v>
      </c>
      <c r="G50" s="56">
        <v>22134209</v>
      </c>
      <c r="H50" s="57" t="s">
        <v>199</v>
      </c>
      <c r="I50" s="49"/>
      <c r="J50" s="50">
        <f t="shared" si="1"/>
        <v>0</v>
      </c>
      <c r="K50" s="49"/>
      <c r="L50" s="49"/>
      <c r="M50" s="49"/>
    </row>
    <row r="51" spans="2:13" x14ac:dyDescent="0.25">
      <c r="B51" s="71"/>
      <c r="C51" s="55" t="s">
        <v>128</v>
      </c>
      <c r="D51" s="56">
        <f>91728000+10922772-(72194150)</f>
        <v>30456622</v>
      </c>
      <c r="E51" s="57" t="s">
        <v>206</v>
      </c>
      <c r="F51" s="58" t="s">
        <v>128</v>
      </c>
      <c r="G51" s="56">
        <f>91728000+10922772-(72194150)</f>
        <v>30456622</v>
      </c>
      <c r="H51" s="57" t="s">
        <v>206</v>
      </c>
      <c r="I51" s="49"/>
      <c r="J51" s="50">
        <f t="shared" si="1"/>
        <v>0</v>
      </c>
      <c r="K51" s="49"/>
      <c r="L51" s="49"/>
      <c r="M51" s="49"/>
    </row>
    <row r="52" spans="2:13" x14ac:dyDescent="0.25">
      <c r="B52" s="71"/>
      <c r="C52" s="55" t="s">
        <v>114</v>
      </c>
      <c r="D52" s="56">
        <f>8376623-4411543</f>
        <v>3965080</v>
      </c>
      <c r="E52" s="57" t="s">
        <v>206</v>
      </c>
      <c r="F52" s="58" t="s">
        <v>114</v>
      </c>
      <c r="G52" s="56">
        <f>8376623-4411543</f>
        <v>3965080</v>
      </c>
      <c r="H52" s="57" t="s">
        <v>206</v>
      </c>
      <c r="I52" s="49"/>
      <c r="J52" s="50">
        <f t="shared" si="1"/>
        <v>0</v>
      </c>
      <c r="K52" s="49"/>
      <c r="L52" s="49"/>
      <c r="M52" s="49"/>
    </row>
    <row r="53" spans="2:13" x14ac:dyDescent="0.25">
      <c r="B53" s="71"/>
      <c r="C53" s="55" t="s">
        <v>111</v>
      </c>
      <c r="D53" s="56">
        <f>55692000+14599515-(10922772)</f>
        <v>59368743</v>
      </c>
      <c r="E53" s="57" t="s">
        <v>206</v>
      </c>
      <c r="F53" s="58" t="s">
        <v>111</v>
      </c>
      <c r="G53" s="56">
        <f>55692000+14599515-(10922772)</f>
        <v>59368743</v>
      </c>
      <c r="H53" s="57" t="s">
        <v>206</v>
      </c>
      <c r="I53" s="49"/>
      <c r="J53" s="50">
        <f t="shared" si="1"/>
        <v>0</v>
      </c>
      <c r="K53" s="49"/>
      <c r="L53" s="49"/>
      <c r="M53" s="49"/>
    </row>
    <row r="54" spans="2:13" x14ac:dyDescent="0.25">
      <c r="B54" s="71"/>
      <c r="C54" s="55" t="s">
        <v>111</v>
      </c>
      <c r="D54" s="56">
        <v>27000000</v>
      </c>
      <c r="E54" s="57" t="s">
        <v>214</v>
      </c>
      <c r="F54" s="58" t="s">
        <v>111</v>
      </c>
      <c r="G54" s="56">
        <v>27000000</v>
      </c>
      <c r="H54" s="57" t="s">
        <v>214</v>
      </c>
      <c r="I54" s="49"/>
      <c r="J54" s="50">
        <f t="shared" si="1"/>
        <v>0</v>
      </c>
      <c r="K54" s="49"/>
      <c r="L54" s="49"/>
      <c r="M54" s="49"/>
    </row>
    <row r="55" spans="2:13" x14ac:dyDescent="0.25">
      <c r="B55" s="71"/>
      <c r="C55" s="55" t="s">
        <v>111</v>
      </c>
      <c r="D55" s="56">
        <v>5000000</v>
      </c>
      <c r="E55" s="57" t="s">
        <v>218</v>
      </c>
      <c r="F55" s="58" t="s">
        <v>111</v>
      </c>
      <c r="G55" s="56">
        <v>5000000</v>
      </c>
      <c r="H55" s="57" t="s">
        <v>218</v>
      </c>
      <c r="I55" s="49"/>
      <c r="J55" s="50">
        <f t="shared" si="1"/>
        <v>0</v>
      </c>
      <c r="K55" s="49"/>
      <c r="L55" s="49"/>
      <c r="M55" s="49"/>
    </row>
    <row r="56" spans="2:13" x14ac:dyDescent="0.25">
      <c r="B56" s="71"/>
      <c r="C56" s="55" t="s">
        <v>111</v>
      </c>
      <c r="D56" s="56">
        <v>25000000</v>
      </c>
      <c r="E56" s="57" t="s">
        <v>222</v>
      </c>
      <c r="F56" s="58" t="s">
        <v>111</v>
      </c>
      <c r="G56" s="56">
        <v>25000000</v>
      </c>
      <c r="H56" s="57" t="s">
        <v>222</v>
      </c>
      <c r="I56" s="49"/>
      <c r="J56" s="50">
        <f t="shared" si="1"/>
        <v>0</v>
      </c>
      <c r="K56" s="49"/>
      <c r="L56" s="49"/>
      <c r="M56" s="49"/>
    </row>
    <row r="57" spans="2:13" x14ac:dyDescent="0.25">
      <c r="B57" s="71"/>
      <c r="C57" s="55" t="s">
        <v>114</v>
      </c>
      <c r="D57" s="56">
        <f>150000000-(45000000+25000000)</f>
        <v>80000000</v>
      </c>
      <c r="E57" s="57" t="s">
        <v>222</v>
      </c>
      <c r="F57" s="58" t="s">
        <v>114</v>
      </c>
      <c r="G57" s="56">
        <f>150000000-(45000000+25000000)</f>
        <v>80000000</v>
      </c>
      <c r="H57" s="57" t="s">
        <v>222</v>
      </c>
      <c r="I57" s="49"/>
      <c r="J57" s="50">
        <f t="shared" si="1"/>
        <v>0</v>
      </c>
      <c r="K57" s="49"/>
      <c r="L57" s="49"/>
      <c r="M57" s="49"/>
    </row>
    <row r="58" spans="2:13" x14ac:dyDescent="0.25">
      <c r="B58" s="71"/>
      <c r="C58" s="55" t="s">
        <v>111</v>
      </c>
      <c r="D58" s="56">
        <v>120000000</v>
      </c>
      <c r="E58" s="57" t="s">
        <v>228</v>
      </c>
      <c r="F58" s="58" t="s">
        <v>111</v>
      </c>
      <c r="G58" s="56">
        <v>120000000</v>
      </c>
      <c r="H58" s="57" t="s">
        <v>228</v>
      </c>
      <c r="I58" s="49"/>
      <c r="J58" s="50">
        <f t="shared" si="1"/>
        <v>0</v>
      </c>
      <c r="K58" s="49"/>
      <c r="L58" s="49"/>
      <c r="M58" s="49"/>
    </row>
    <row r="59" spans="2:13" ht="22.5" x14ac:dyDescent="0.25">
      <c r="B59" s="71"/>
      <c r="C59" s="55" t="s">
        <v>120</v>
      </c>
      <c r="D59" s="56">
        <v>361174109</v>
      </c>
      <c r="E59" s="57" t="s">
        <v>231</v>
      </c>
      <c r="F59" s="58" t="s">
        <v>120</v>
      </c>
      <c r="G59" s="56">
        <v>361174109</v>
      </c>
      <c r="H59" s="57" t="s">
        <v>231</v>
      </c>
      <c r="I59" s="49"/>
      <c r="J59" s="50">
        <f t="shared" si="1"/>
        <v>0</v>
      </c>
      <c r="K59" s="49"/>
      <c r="L59" s="49"/>
      <c r="M59" s="49"/>
    </row>
    <row r="60" spans="2:13" ht="22.5" x14ac:dyDescent="0.25">
      <c r="B60" s="71"/>
      <c r="C60" s="55" t="s">
        <v>120</v>
      </c>
      <c r="D60" s="56">
        <v>67200000</v>
      </c>
      <c r="E60" s="57" t="s">
        <v>231</v>
      </c>
      <c r="F60" s="58" t="s">
        <v>120</v>
      </c>
      <c r="G60" s="56">
        <v>67200000</v>
      </c>
      <c r="H60" s="57" t="s">
        <v>231</v>
      </c>
      <c r="I60" s="49"/>
      <c r="J60" s="50">
        <f t="shared" si="1"/>
        <v>0</v>
      </c>
      <c r="K60" s="49"/>
      <c r="L60" s="49"/>
      <c r="M60" s="49"/>
    </row>
    <row r="61" spans="2:13" x14ac:dyDescent="0.25">
      <c r="B61" s="71"/>
      <c r="C61" s="55" t="s">
        <v>120</v>
      </c>
      <c r="D61" s="56">
        <f>12567179+230</f>
        <v>12567409</v>
      </c>
      <c r="E61" s="57" t="s">
        <v>143</v>
      </c>
      <c r="F61" s="58" t="s">
        <v>120</v>
      </c>
      <c r="G61" s="56">
        <f>12567179+230</f>
        <v>12567409</v>
      </c>
      <c r="H61" s="57" t="s">
        <v>143</v>
      </c>
      <c r="I61" s="49"/>
      <c r="J61" s="50">
        <f t="shared" si="1"/>
        <v>0</v>
      </c>
      <c r="K61" s="49"/>
      <c r="L61" s="49"/>
      <c r="M61" s="49"/>
    </row>
    <row r="62" spans="2:13" ht="33.75" x14ac:dyDescent="0.25">
      <c r="B62" s="71"/>
      <c r="C62" s="55" t="s">
        <v>120</v>
      </c>
      <c r="D62" s="56">
        <v>19656000</v>
      </c>
      <c r="E62" s="57" t="s">
        <v>238</v>
      </c>
      <c r="F62" s="58" t="s">
        <v>120</v>
      </c>
      <c r="G62" s="56">
        <v>19656000</v>
      </c>
      <c r="H62" s="57" t="s">
        <v>238</v>
      </c>
      <c r="I62" s="49"/>
      <c r="J62" s="50">
        <f t="shared" si="1"/>
        <v>0</v>
      </c>
      <c r="K62" s="49"/>
      <c r="L62" s="49"/>
      <c r="M62" s="49"/>
    </row>
    <row r="63" spans="2:13" x14ac:dyDescent="0.25">
      <c r="B63" s="71"/>
      <c r="C63" s="55" t="s">
        <v>120</v>
      </c>
      <c r="D63" s="56">
        <f>250000000+2000000</f>
        <v>252000000</v>
      </c>
      <c r="E63" s="57" t="s">
        <v>245</v>
      </c>
      <c r="F63" s="58" t="s">
        <v>120</v>
      </c>
      <c r="G63" s="56">
        <f>250000000+2000000</f>
        <v>252000000</v>
      </c>
      <c r="H63" s="57" t="s">
        <v>245</v>
      </c>
      <c r="I63" s="49"/>
      <c r="J63" s="50">
        <f t="shared" si="1"/>
        <v>0</v>
      </c>
      <c r="K63" s="49"/>
      <c r="L63" s="49"/>
      <c r="M63" s="49"/>
    </row>
    <row r="64" spans="2:13" x14ac:dyDescent="0.25">
      <c r="B64" s="71"/>
      <c r="C64" s="55" t="s">
        <v>111</v>
      </c>
      <c r="D64" s="56">
        <v>20000000</v>
      </c>
      <c r="E64" s="57" t="s">
        <v>248</v>
      </c>
      <c r="F64" s="58" t="s">
        <v>111</v>
      </c>
      <c r="G64" s="56">
        <v>20000000</v>
      </c>
      <c r="H64" s="57" t="s">
        <v>248</v>
      </c>
      <c r="I64" s="49"/>
      <c r="J64" s="50">
        <f t="shared" si="1"/>
        <v>0</v>
      </c>
      <c r="K64" s="49"/>
      <c r="L64" s="49"/>
      <c r="M64" s="49"/>
    </row>
    <row r="65" spans="2:13" x14ac:dyDescent="0.25">
      <c r="B65" s="71"/>
      <c r="C65" s="55" t="s">
        <v>114</v>
      </c>
      <c r="D65" s="56">
        <v>9864272</v>
      </c>
      <c r="E65" s="57" t="s">
        <v>248</v>
      </c>
      <c r="F65" s="58" t="s">
        <v>114</v>
      </c>
      <c r="G65" s="56">
        <v>9864272</v>
      </c>
      <c r="H65" s="57" t="s">
        <v>248</v>
      </c>
      <c r="I65" s="49"/>
      <c r="J65" s="50">
        <f t="shared" si="1"/>
        <v>0</v>
      </c>
      <c r="K65" s="49"/>
      <c r="L65" s="49"/>
      <c r="M65" s="49"/>
    </row>
    <row r="66" spans="2:13" x14ac:dyDescent="0.25">
      <c r="B66" s="71"/>
      <c r="C66" s="55" t="s">
        <v>128</v>
      </c>
      <c r="D66" s="56">
        <v>0</v>
      </c>
      <c r="E66" s="57" t="s">
        <v>248</v>
      </c>
      <c r="F66" s="58" t="s">
        <v>128</v>
      </c>
      <c r="G66" s="56">
        <v>0</v>
      </c>
      <c r="H66" s="57" t="s">
        <v>248</v>
      </c>
      <c r="I66" s="49"/>
      <c r="J66" s="50">
        <f t="shared" si="1"/>
        <v>0</v>
      </c>
      <c r="K66" s="49"/>
      <c r="L66" s="49"/>
      <c r="M66" s="49"/>
    </row>
    <row r="67" spans="2:13" x14ac:dyDescent="0.25">
      <c r="B67" s="71"/>
      <c r="C67" s="55" t="s">
        <v>255</v>
      </c>
      <c r="D67" s="56">
        <v>20000000</v>
      </c>
      <c r="E67" s="57" t="s">
        <v>258</v>
      </c>
      <c r="F67" s="58" t="s">
        <v>255</v>
      </c>
      <c r="G67" s="56">
        <v>20000000</v>
      </c>
      <c r="H67" s="57" t="s">
        <v>258</v>
      </c>
      <c r="I67" s="49"/>
      <c r="J67" s="50">
        <f t="shared" ref="J67:J73" si="2">G67-D67</f>
        <v>0</v>
      </c>
      <c r="K67" s="49"/>
      <c r="L67" s="49"/>
      <c r="M67" s="49"/>
    </row>
    <row r="68" spans="2:13" x14ac:dyDescent="0.25">
      <c r="B68" s="71"/>
      <c r="C68" s="55" t="s">
        <v>255</v>
      </c>
      <c r="D68" s="56">
        <v>40925047</v>
      </c>
      <c r="E68" s="57" t="s">
        <v>262</v>
      </c>
      <c r="F68" s="58" t="s">
        <v>255</v>
      </c>
      <c r="G68" s="56">
        <v>40925047</v>
      </c>
      <c r="H68" s="57" t="s">
        <v>262</v>
      </c>
      <c r="I68" s="49"/>
      <c r="J68" s="50">
        <f t="shared" si="2"/>
        <v>0</v>
      </c>
      <c r="K68" s="49"/>
      <c r="L68" s="49"/>
      <c r="M68" s="49"/>
    </row>
    <row r="69" spans="2:13" ht="22.5" x14ac:dyDescent="0.25">
      <c r="B69" s="71"/>
      <c r="C69" s="55" t="s">
        <v>117</v>
      </c>
      <c r="D69" s="56">
        <v>1300000000</v>
      </c>
      <c r="E69" s="57" t="s">
        <v>266</v>
      </c>
      <c r="F69" s="58" t="s">
        <v>117</v>
      </c>
      <c r="G69" s="56">
        <v>1300000000</v>
      </c>
      <c r="H69" s="57" t="s">
        <v>266</v>
      </c>
      <c r="I69" s="49"/>
      <c r="J69" s="50">
        <f t="shared" si="2"/>
        <v>0</v>
      </c>
      <c r="K69" s="49"/>
      <c r="L69" s="49"/>
      <c r="M69" s="49"/>
    </row>
    <row r="70" spans="2:13" x14ac:dyDescent="0.25">
      <c r="B70" s="71"/>
      <c r="C70" s="55" t="s">
        <v>117</v>
      </c>
      <c r="D70" s="56">
        <f>343617347</f>
        <v>343617347</v>
      </c>
      <c r="E70" s="57" t="s">
        <v>269</v>
      </c>
      <c r="F70" s="58" t="s">
        <v>117</v>
      </c>
      <c r="G70" s="56">
        <f>343617347</f>
        <v>343617347</v>
      </c>
      <c r="H70" s="57" t="s">
        <v>269</v>
      </c>
      <c r="I70" s="49"/>
      <c r="J70" s="50">
        <f t="shared" si="2"/>
        <v>0</v>
      </c>
      <c r="K70" s="49"/>
      <c r="L70" s="49"/>
      <c r="M70" s="49"/>
    </row>
    <row r="71" spans="2:13" x14ac:dyDescent="0.25">
      <c r="B71" s="71"/>
      <c r="C71" s="55" t="s">
        <v>117</v>
      </c>
      <c r="D71" s="56">
        <v>160000000</v>
      </c>
      <c r="E71" s="57" t="s">
        <v>272</v>
      </c>
      <c r="F71" s="58" t="s">
        <v>117</v>
      </c>
      <c r="G71" s="56">
        <v>160000000</v>
      </c>
      <c r="H71" s="57" t="s">
        <v>272</v>
      </c>
      <c r="I71" s="49"/>
      <c r="J71" s="50">
        <f t="shared" si="2"/>
        <v>0</v>
      </c>
      <c r="K71" s="49"/>
      <c r="L71" s="49"/>
      <c r="M71" s="49"/>
    </row>
    <row r="72" spans="2:13" ht="22.5" x14ac:dyDescent="0.25">
      <c r="B72" s="71"/>
      <c r="C72" s="55" t="s">
        <v>123</v>
      </c>
      <c r="D72" s="56">
        <f>500000000-40000000</f>
        <v>460000000</v>
      </c>
      <c r="E72" s="57" t="s">
        <v>266</v>
      </c>
      <c r="F72" s="58" t="s">
        <v>123</v>
      </c>
      <c r="G72" s="56">
        <f>500000000-40000000</f>
        <v>460000000</v>
      </c>
      <c r="H72" s="57" t="s">
        <v>266</v>
      </c>
      <c r="I72" s="49"/>
      <c r="J72" s="50">
        <f t="shared" si="2"/>
        <v>0</v>
      </c>
      <c r="K72" s="49"/>
      <c r="L72" s="49"/>
      <c r="M72" s="49"/>
    </row>
    <row r="73" spans="2:13" ht="22.5" x14ac:dyDescent="0.25">
      <c r="B73" s="71"/>
      <c r="C73" s="58" t="s">
        <v>123</v>
      </c>
      <c r="D73" s="56">
        <v>742300236</v>
      </c>
      <c r="E73" s="57" t="s">
        <v>231</v>
      </c>
      <c r="F73" s="58" t="s">
        <v>123</v>
      </c>
      <c r="G73" s="56">
        <v>742300236</v>
      </c>
      <c r="H73" s="57" t="s">
        <v>231</v>
      </c>
      <c r="I73" s="49"/>
      <c r="J73" s="50">
        <f t="shared" si="2"/>
        <v>0</v>
      </c>
      <c r="K73" s="49"/>
      <c r="L73" s="49"/>
      <c r="M73" s="49"/>
    </row>
    <row r="74" spans="2:13" s="79" customFormat="1" x14ac:dyDescent="0.25">
      <c r="B74" s="83" t="s">
        <v>1158</v>
      </c>
      <c r="C74" s="77" t="s">
        <v>123</v>
      </c>
      <c r="D74" s="75">
        <v>360310002</v>
      </c>
      <c r="E74" s="76" t="s">
        <v>280</v>
      </c>
      <c r="F74" s="77" t="s">
        <v>123</v>
      </c>
      <c r="G74" s="249">
        <f>950231783+160178981+27018746+52895497-(40000000+605047969+1513+24786542+53302274)</f>
        <v>467186709</v>
      </c>
      <c r="H74" s="76" t="s">
        <v>280</v>
      </c>
      <c r="I74" s="73" t="s">
        <v>1155</v>
      </c>
      <c r="J74" s="78"/>
      <c r="K74" s="73"/>
      <c r="L74" s="73"/>
      <c r="M74" s="73"/>
    </row>
    <row r="75" spans="2:13" s="79" customFormat="1" x14ac:dyDescent="0.25">
      <c r="B75" s="83"/>
      <c r="C75" s="77" t="s">
        <v>123</v>
      </c>
      <c r="D75" s="75">
        <v>106876707</v>
      </c>
      <c r="E75" s="76" t="s">
        <v>280</v>
      </c>
      <c r="F75" s="88"/>
      <c r="G75" s="249"/>
      <c r="H75" s="76" t="s">
        <v>280</v>
      </c>
      <c r="I75" s="73" t="s">
        <v>1155</v>
      </c>
      <c r="J75" s="78"/>
      <c r="K75" s="73"/>
      <c r="L75" s="73"/>
      <c r="M75" s="73"/>
    </row>
    <row r="76" spans="2:13" s="79" customFormat="1" x14ac:dyDescent="0.25">
      <c r="B76" s="83"/>
      <c r="C76" s="77" t="s">
        <v>123</v>
      </c>
      <c r="D76" s="75">
        <v>19188274.471846402</v>
      </c>
      <c r="E76" s="76" t="s">
        <v>280</v>
      </c>
      <c r="F76" s="77" t="s">
        <v>123</v>
      </c>
      <c r="G76" s="75">
        <v>19188274.471846402</v>
      </c>
      <c r="H76" s="76" t="s">
        <v>280</v>
      </c>
      <c r="I76" s="73"/>
      <c r="J76" s="78">
        <f t="shared" ref="J76:J107" si="3">G76-D76</f>
        <v>0</v>
      </c>
      <c r="K76" s="73"/>
      <c r="L76" s="73"/>
      <c r="M76" s="73"/>
    </row>
    <row r="77" spans="2:13" s="79" customFormat="1" ht="45.75" x14ac:dyDescent="0.25">
      <c r="B77" s="90" t="s">
        <v>1159</v>
      </c>
      <c r="C77" s="77"/>
      <c r="D77" s="75">
        <v>0</v>
      </c>
      <c r="E77" s="76" t="s">
        <v>285</v>
      </c>
      <c r="F77" s="77" t="s">
        <v>123</v>
      </c>
      <c r="G77" s="75">
        <f>451547685+54998420+70000000-(317162668+9301682+175148053)</f>
        <v>74933702</v>
      </c>
      <c r="H77" s="76" t="s">
        <v>285</v>
      </c>
      <c r="I77" s="73"/>
      <c r="J77" s="81">
        <f t="shared" si="3"/>
        <v>74933702</v>
      </c>
      <c r="K77" s="73"/>
      <c r="L77" s="80"/>
      <c r="M77" s="73"/>
    </row>
    <row r="78" spans="2:13" x14ac:dyDescent="0.25">
      <c r="B78" s="71"/>
      <c r="C78" s="55" t="s">
        <v>123</v>
      </c>
      <c r="D78" s="56">
        <v>0</v>
      </c>
      <c r="E78" s="57" t="s">
        <v>288</v>
      </c>
      <c r="F78" s="58" t="s">
        <v>123</v>
      </c>
      <c r="G78" s="56">
        <v>0</v>
      </c>
      <c r="H78" s="57" t="s">
        <v>288</v>
      </c>
      <c r="I78" s="49"/>
      <c r="J78" s="50">
        <f t="shared" si="3"/>
        <v>0</v>
      </c>
      <c r="K78" s="49"/>
      <c r="L78" s="49"/>
      <c r="M78" s="49"/>
    </row>
    <row r="79" spans="2:13" x14ac:dyDescent="0.25">
      <c r="B79" s="71"/>
      <c r="C79" s="55" t="s">
        <v>123</v>
      </c>
      <c r="D79" s="56">
        <f>5000000+2040000</f>
        <v>7040000</v>
      </c>
      <c r="E79" s="57" t="s">
        <v>291</v>
      </c>
      <c r="F79" s="58" t="s">
        <v>123</v>
      </c>
      <c r="G79" s="56">
        <f>5000000+2040000</f>
        <v>7040000</v>
      </c>
      <c r="H79" s="57" t="s">
        <v>291</v>
      </c>
      <c r="I79" s="49"/>
      <c r="J79" s="50">
        <f t="shared" si="3"/>
        <v>0</v>
      </c>
      <c r="K79" s="49"/>
      <c r="L79" s="49"/>
      <c r="M79" s="49"/>
    </row>
    <row r="80" spans="2:13" x14ac:dyDescent="0.25">
      <c r="B80" s="71"/>
      <c r="C80" s="55" t="s">
        <v>117</v>
      </c>
      <c r="D80" s="56">
        <v>1500000</v>
      </c>
      <c r="E80" s="57" t="s">
        <v>297</v>
      </c>
      <c r="F80" s="58" t="s">
        <v>117</v>
      </c>
      <c r="G80" s="56">
        <v>1500000</v>
      </c>
      <c r="H80" s="57" t="s">
        <v>297</v>
      </c>
      <c r="I80" s="49"/>
      <c r="J80" s="50">
        <f t="shared" si="3"/>
        <v>0</v>
      </c>
      <c r="K80" s="49"/>
      <c r="L80" s="49"/>
      <c r="M80" s="49"/>
    </row>
    <row r="81" spans="2:13" x14ac:dyDescent="0.25">
      <c r="B81" s="71"/>
      <c r="C81" s="55" t="s">
        <v>123</v>
      </c>
      <c r="D81" s="56">
        <v>3700000</v>
      </c>
      <c r="E81" s="57" t="s">
        <v>303</v>
      </c>
      <c r="F81" s="58" t="s">
        <v>123</v>
      </c>
      <c r="G81" s="56">
        <v>3700000</v>
      </c>
      <c r="H81" s="57" t="s">
        <v>303</v>
      </c>
      <c r="I81" s="49"/>
      <c r="J81" s="50">
        <f t="shared" si="3"/>
        <v>0</v>
      </c>
      <c r="K81" s="49"/>
      <c r="L81" s="49"/>
      <c r="M81" s="49"/>
    </row>
    <row r="82" spans="2:13" x14ac:dyDescent="0.25">
      <c r="B82" s="71"/>
      <c r="C82" s="55" t="s">
        <v>123</v>
      </c>
      <c r="D82" s="56">
        <v>60000000</v>
      </c>
      <c r="E82" s="57" t="s">
        <v>307</v>
      </c>
      <c r="F82" s="58" t="s">
        <v>123</v>
      </c>
      <c r="G82" s="56">
        <v>60000000</v>
      </c>
      <c r="H82" s="57" t="s">
        <v>307</v>
      </c>
      <c r="I82" s="49"/>
      <c r="J82" s="50">
        <f t="shared" si="3"/>
        <v>0</v>
      </c>
      <c r="K82" s="49"/>
      <c r="L82" s="49"/>
      <c r="M82" s="49"/>
    </row>
    <row r="83" spans="2:13" x14ac:dyDescent="0.25">
      <c r="B83" s="71"/>
      <c r="C83" s="55" t="s">
        <v>123</v>
      </c>
      <c r="D83" s="56">
        <v>7839244</v>
      </c>
      <c r="E83" s="57" t="s">
        <v>313</v>
      </c>
      <c r="F83" s="58" t="s">
        <v>123</v>
      </c>
      <c r="G83" s="56">
        <v>7839244.1400000006</v>
      </c>
      <c r="H83" s="57" t="s">
        <v>313</v>
      </c>
      <c r="I83" s="49"/>
      <c r="J83" s="50">
        <f t="shared" si="3"/>
        <v>0.14000000059604645</v>
      </c>
      <c r="K83" s="49"/>
      <c r="L83" s="49"/>
      <c r="M83" s="49"/>
    </row>
    <row r="84" spans="2:13" x14ac:dyDescent="0.25">
      <c r="B84" s="71"/>
      <c r="C84" s="55" t="s">
        <v>123</v>
      </c>
      <c r="D84" s="56">
        <v>25000000</v>
      </c>
      <c r="E84" s="57" t="s">
        <v>317</v>
      </c>
      <c r="F84" s="58" t="s">
        <v>123</v>
      </c>
      <c r="G84" s="56">
        <v>25000000</v>
      </c>
      <c r="H84" s="57" t="s">
        <v>317</v>
      </c>
      <c r="I84" s="49"/>
      <c r="J84" s="50">
        <f t="shared" si="3"/>
        <v>0</v>
      </c>
      <c r="K84" s="49"/>
      <c r="L84" s="49"/>
      <c r="M84" s="49"/>
    </row>
    <row r="85" spans="2:13" x14ac:dyDescent="0.25">
      <c r="B85" s="71"/>
      <c r="C85" s="55" t="s">
        <v>123</v>
      </c>
      <c r="D85" s="56">
        <v>49140000</v>
      </c>
      <c r="E85" s="57" t="s">
        <v>320</v>
      </c>
      <c r="F85" s="58" t="s">
        <v>123</v>
      </c>
      <c r="G85" s="56">
        <v>49140000</v>
      </c>
      <c r="H85" s="57" t="s">
        <v>320</v>
      </c>
      <c r="I85" s="49"/>
      <c r="J85" s="50">
        <f t="shared" si="3"/>
        <v>0</v>
      </c>
      <c r="K85" s="49"/>
      <c r="L85" s="49"/>
      <c r="M85" s="49"/>
    </row>
    <row r="86" spans="2:13" x14ac:dyDescent="0.25">
      <c r="B86" s="71"/>
      <c r="C86" s="55" t="s">
        <v>123</v>
      </c>
      <c r="D86" s="56">
        <v>21840000</v>
      </c>
      <c r="E86" s="57" t="s">
        <v>324</v>
      </c>
      <c r="F86" s="58" t="s">
        <v>123</v>
      </c>
      <c r="G86" s="56">
        <v>21840000</v>
      </c>
      <c r="H86" s="57" t="s">
        <v>324</v>
      </c>
      <c r="I86" s="49"/>
      <c r="J86" s="50">
        <f t="shared" si="3"/>
        <v>0</v>
      </c>
      <c r="K86" s="49"/>
      <c r="L86" s="49"/>
      <c r="M86" s="49"/>
    </row>
    <row r="87" spans="2:13" x14ac:dyDescent="0.25">
      <c r="B87" s="71"/>
      <c r="C87" s="55" t="s">
        <v>123</v>
      </c>
      <c r="D87" s="56">
        <f>30000000-(25472497+3440000)</f>
        <v>1087503</v>
      </c>
      <c r="E87" s="57" t="s">
        <v>328</v>
      </c>
      <c r="F87" s="58" t="s">
        <v>123</v>
      </c>
      <c r="G87" s="56">
        <f>30000000-(25472497+3440000)</f>
        <v>1087503</v>
      </c>
      <c r="H87" s="57" t="s">
        <v>328</v>
      </c>
      <c r="I87" s="49"/>
      <c r="J87" s="50">
        <f t="shared" si="3"/>
        <v>0</v>
      </c>
      <c r="K87" s="49"/>
      <c r="L87" s="49"/>
      <c r="M87" s="49"/>
    </row>
    <row r="88" spans="2:13" x14ac:dyDescent="0.25">
      <c r="B88" s="71"/>
      <c r="C88" s="55" t="s">
        <v>123</v>
      </c>
      <c r="D88" s="56">
        <v>32760000</v>
      </c>
      <c r="E88" s="57" t="s">
        <v>332</v>
      </c>
      <c r="F88" s="58" t="s">
        <v>123</v>
      </c>
      <c r="G88" s="56">
        <v>32760000</v>
      </c>
      <c r="H88" s="57" t="s">
        <v>332</v>
      </c>
      <c r="I88" s="49"/>
      <c r="J88" s="50">
        <f t="shared" si="3"/>
        <v>0</v>
      </c>
      <c r="K88" s="49"/>
      <c r="L88" s="49"/>
      <c r="M88" s="49"/>
    </row>
    <row r="89" spans="2:13" x14ac:dyDescent="0.25">
      <c r="B89" s="71"/>
      <c r="C89" s="55" t="s">
        <v>123</v>
      </c>
      <c r="D89" s="56">
        <v>50000000</v>
      </c>
      <c r="E89" s="57" t="s">
        <v>335</v>
      </c>
      <c r="F89" s="58" t="s">
        <v>123</v>
      </c>
      <c r="G89" s="56">
        <v>50000000</v>
      </c>
      <c r="H89" s="57" t="s">
        <v>335</v>
      </c>
      <c r="I89" s="49"/>
      <c r="J89" s="50">
        <f t="shared" si="3"/>
        <v>0</v>
      </c>
      <c r="K89" s="49"/>
      <c r="L89" s="49"/>
      <c r="M89" s="49"/>
    </row>
    <row r="90" spans="2:13" x14ac:dyDescent="0.25">
      <c r="B90" s="71"/>
      <c r="C90" s="55" t="s">
        <v>123</v>
      </c>
      <c r="D90" s="56">
        <v>56784000</v>
      </c>
      <c r="E90" s="57" t="s">
        <v>338</v>
      </c>
      <c r="F90" s="58" t="s">
        <v>123</v>
      </c>
      <c r="G90" s="56">
        <v>56784000</v>
      </c>
      <c r="H90" s="57" t="s">
        <v>338</v>
      </c>
      <c r="I90" s="49"/>
      <c r="J90" s="50">
        <f t="shared" si="3"/>
        <v>0</v>
      </c>
      <c r="K90" s="49"/>
      <c r="L90" s="49"/>
      <c r="M90" s="49"/>
    </row>
    <row r="91" spans="2:13" ht="45.75" x14ac:dyDescent="0.25">
      <c r="B91" s="64" t="s">
        <v>1160</v>
      </c>
      <c r="C91" s="55" t="s">
        <v>123</v>
      </c>
      <c r="D91" s="56">
        <v>30000000</v>
      </c>
      <c r="E91" s="57" t="s">
        <v>342</v>
      </c>
      <c r="F91" s="58" t="s">
        <v>123</v>
      </c>
      <c r="G91" s="56">
        <v>30000000</v>
      </c>
      <c r="H91" s="57" t="s">
        <v>342</v>
      </c>
      <c r="I91" s="49"/>
      <c r="J91" s="50">
        <f t="shared" si="3"/>
        <v>0</v>
      </c>
      <c r="K91" s="49"/>
      <c r="L91" s="49"/>
      <c r="M91" s="49"/>
    </row>
    <row r="92" spans="2:13" x14ac:dyDescent="0.25">
      <c r="B92" s="71"/>
      <c r="C92" s="55" t="s">
        <v>123</v>
      </c>
      <c r="D92" s="56">
        <v>35846603</v>
      </c>
      <c r="E92" s="57" t="s">
        <v>347</v>
      </c>
      <c r="F92" s="58" t="s">
        <v>123</v>
      </c>
      <c r="G92" s="56">
        <v>35846603</v>
      </c>
      <c r="H92" s="57" t="s">
        <v>347</v>
      </c>
      <c r="I92" s="49"/>
      <c r="J92" s="50">
        <f t="shared" si="3"/>
        <v>0</v>
      </c>
      <c r="K92" s="49"/>
      <c r="L92" s="49"/>
      <c r="M92" s="49"/>
    </row>
    <row r="93" spans="2:13" x14ac:dyDescent="0.25">
      <c r="B93" s="71"/>
      <c r="C93" s="55" t="s">
        <v>123</v>
      </c>
      <c r="D93" s="56">
        <f>456237-456237</f>
        <v>0</v>
      </c>
      <c r="E93" s="57" t="s">
        <v>351</v>
      </c>
      <c r="F93" s="58" t="s">
        <v>123</v>
      </c>
      <c r="G93" s="56">
        <f>456237-456237</f>
        <v>0</v>
      </c>
      <c r="H93" s="57" t="s">
        <v>351</v>
      </c>
      <c r="I93" s="49"/>
      <c r="J93" s="50">
        <f t="shared" si="3"/>
        <v>0</v>
      </c>
      <c r="K93" s="49"/>
      <c r="L93" s="49"/>
      <c r="M93" s="49"/>
    </row>
    <row r="94" spans="2:13" x14ac:dyDescent="0.25">
      <c r="B94" s="71"/>
      <c r="C94" s="55" t="s">
        <v>123</v>
      </c>
      <c r="D94" s="56">
        <v>4800000</v>
      </c>
      <c r="E94" s="57" t="s">
        <v>355</v>
      </c>
      <c r="F94" s="58" t="s">
        <v>123</v>
      </c>
      <c r="G94" s="56">
        <v>4800000</v>
      </c>
      <c r="H94" s="57" t="s">
        <v>355</v>
      </c>
      <c r="I94" s="49"/>
      <c r="J94" s="50">
        <f t="shared" si="3"/>
        <v>0</v>
      </c>
      <c r="K94" s="49"/>
      <c r="L94" s="49"/>
      <c r="M94" s="49"/>
    </row>
    <row r="95" spans="2:13" x14ac:dyDescent="0.25">
      <c r="B95" s="71"/>
      <c r="C95" s="55" t="s">
        <v>126</v>
      </c>
      <c r="D95" s="56">
        <v>15000000</v>
      </c>
      <c r="E95" s="57" t="s">
        <v>359</v>
      </c>
      <c r="F95" s="58" t="s">
        <v>126</v>
      </c>
      <c r="G95" s="56">
        <v>15000000</v>
      </c>
      <c r="H95" s="57" t="s">
        <v>359</v>
      </c>
      <c r="I95" s="49"/>
      <c r="J95" s="50">
        <f t="shared" si="3"/>
        <v>0</v>
      </c>
      <c r="K95" s="49"/>
      <c r="L95" s="49"/>
      <c r="M95" s="49"/>
    </row>
    <row r="96" spans="2:13" x14ac:dyDescent="0.25">
      <c r="B96" s="71"/>
      <c r="C96" s="55" t="s">
        <v>126</v>
      </c>
      <c r="D96" s="56">
        <v>8736000</v>
      </c>
      <c r="E96" s="57" t="s">
        <v>363</v>
      </c>
      <c r="F96" s="58" t="s">
        <v>126</v>
      </c>
      <c r="G96" s="56">
        <v>8736000</v>
      </c>
      <c r="H96" s="57" t="s">
        <v>363</v>
      </c>
      <c r="I96" s="49"/>
      <c r="J96" s="50">
        <f t="shared" si="3"/>
        <v>0</v>
      </c>
      <c r="K96" s="49"/>
      <c r="L96" s="49"/>
      <c r="M96" s="49"/>
    </row>
    <row r="97" spans="2:13" x14ac:dyDescent="0.25">
      <c r="B97" s="71"/>
      <c r="C97" s="55" t="s">
        <v>126</v>
      </c>
      <c r="D97" s="56">
        <v>0</v>
      </c>
      <c r="E97" s="57" t="s">
        <v>366</v>
      </c>
      <c r="F97" s="58" t="s">
        <v>126</v>
      </c>
      <c r="G97" s="56">
        <v>0</v>
      </c>
      <c r="H97" s="57" t="s">
        <v>366</v>
      </c>
      <c r="I97" s="49"/>
      <c r="J97" s="50">
        <f t="shared" si="3"/>
        <v>0</v>
      </c>
      <c r="K97" s="49"/>
      <c r="L97" s="49"/>
      <c r="M97" s="49"/>
    </row>
    <row r="98" spans="2:13" x14ac:dyDescent="0.25">
      <c r="B98" s="71"/>
      <c r="C98" s="55" t="s">
        <v>369</v>
      </c>
      <c r="D98" s="56">
        <v>460300</v>
      </c>
      <c r="E98" s="57" t="s">
        <v>372</v>
      </c>
      <c r="F98" s="58" t="s">
        <v>1161</v>
      </c>
      <c r="G98" s="56">
        <v>460300</v>
      </c>
      <c r="H98" s="57" t="s">
        <v>372</v>
      </c>
      <c r="I98" s="49"/>
      <c r="J98" s="50">
        <f t="shared" si="3"/>
        <v>0</v>
      </c>
      <c r="K98" s="49"/>
      <c r="L98" s="49"/>
      <c r="M98" s="49"/>
    </row>
    <row r="99" spans="2:13" x14ac:dyDescent="0.25">
      <c r="B99" s="71"/>
      <c r="C99" s="55" t="s">
        <v>369</v>
      </c>
      <c r="D99" s="56">
        <v>7941000</v>
      </c>
      <c r="E99" s="57" t="s">
        <v>372</v>
      </c>
      <c r="F99" s="58" t="s">
        <v>1161</v>
      </c>
      <c r="G99" s="56">
        <v>7941000</v>
      </c>
      <c r="H99" s="57" t="s">
        <v>372</v>
      </c>
      <c r="I99" s="49"/>
      <c r="J99" s="50">
        <f t="shared" si="3"/>
        <v>0</v>
      </c>
      <c r="K99" s="49"/>
      <c r="L99" s="49"/>
      <c r="M99" s="49"/>
    </row>
    <row r="100" spans="2:13" x14ac:dyDescent="0.25">
      <c r="B100" s="71"/>
      <c r="C100" s="55" t="s">
        <v>369</v>
      </c>
      <c r="D100" s="56">
        <v>5063300</v>
      </c>
      <c r="E100" s="57" t="s">
        <v>372</v>
      </c>
      <c r="F100" s="58" t="s">
        <v>1161</v>
      </c>
      <c r="G100" s="56">
        <v>5063300</v>
      </c>
      <c r="H100" s="57" t="s">
        <v>372</v>
      </c>
      <c r="I100" s="49"/>
      <c r="J100" s="50">
        <f t="shared" si="3"/>
        <v>0</v>
      </c>
      <c r="K100" s="49"/>
      <c r="L100" s="49"/>
      <c r="M100" s="49"/>
    </row>
    <row r="101" spans="2:13" x14ac:dyDescent="0.25">
      <c r="B101" s="71"/>
      <c r="C101" s="55" t="s">
        <v>369</v>
      </c>
      <c r="D101" s="56">
        <v>4603000</v>
      </c>
      <c r="E101" s="57" t="s">
        <v>372</v>
      </c>
      <c r="F101" s="58" t="s">
        <v>1161</v>
      </c>
      <c r="G101" s="56">
        <v>4603000</v>
      </c>
      <c r="H101" s="57" t="s">
        <v>372</v>
      </c>
      <c r="I101" s="49"/>
      <c r="J101" s="50">
        <f t="shared" si="3"/>
        <v>0</v>
      </c>
      <c r="K101" s="49"/>
      <c r="L101" s="49"/>
      <c r="M101" s="49"/>
    </row>
    <row r="102" spans="2:13" x14ac:dyDescent="0.25">
      <c r="B102" s="71"/>
      <c r="C102" s="55" t="s">
        <v>369</v>
      </c>
      <c r="D102" s="56">
        <v>3852360</v>
      </c>
      <c r="E102" s="57" t="s">
        <v>372</v>
      </c>
      <c r="F102" s="58" t="s">
        <v>1161</v>
      </c>
      <c r="G102" s="56">
        <v>3852360</v>
      </c>
      <c r="H102" s="57" t="s">
        <v>372</v>
      </c>
      <c r="I102" s="49"/>
      <c r="J102" s="50">
        <f t="shared" si="3"/>
        <v>0</v>
      </c>
      <c r="K102" s="49"/>
      <c r="L102" s="49"/>
      <c r="M102" s="49"/>
    </row>
    <row r="103" spans="2:13" x14ac:dyDescent="0.25">
      <c r="B103" s="71"/>
      <c r="C103" s="55" t="s">
        <v>382</v>
      </c>
      <c r="D103" s="56">
        <f>2568240+31760</f>
        <v>2600000</v>
      </c>
      <c r="E103" s="57" t="s">
        <v>372</v>
      </c>
      <c r="F103" s="58" t="s">
        <v>382</v>
      </c>
      <c r="G103" s="56">
        <f>2568240+31760</f>
        <v>2600000</v>
      </c>
      <c r="H103" s="57" t="s">
        <v>372</v>
      </c>
      <c r="I103" s="49"/>
      <c r="J103" s="50">
        <f t="shared" si="3"/>
        <v>0</v>
      </c>
      <c r="K103" s="49"/>
      <c r="L103" s="49"/>
      <c r="M103" s="49"/>
    </row>
    <row r="104" spans="2:13" x14ac:dyDescent="0.25">
      <c r="B104" s="71"/>
      <c r="C104" s="55" t="s">
        <v>382</v>
      </c>
      <c r="D104" s="56">
        <f>2767500+12500</f>
        <v>2780000</v>
      </c>
      <c r="E104" s="57" t="s">
        <v>372</v>
      </c>
      <c r="F104" s="58" t="s">
        <v>382</v>
      </c>
      <c r="G104" s="56">
        <f>2767500+12500</f>
        <v>2780000</v>
      </c>
      <c r="H104" s="57" t="s">
        <v>372</v>
      </c>
      <c r="I104" s="49"/>
      <c r="J104" s="50">
        <f t="shared" si="3"/>
        <v>0</v>
      </c>
      <c r="K104" s="49"/>
      <c r="L104" s="49"/>
      <c r="M104" s="49"/>
    </row>
    <row r="105" spans="2:13" x14ac:dyDescent="0.25">
      <c r="B105" s="71"/>
      <c r="C105" s="55" t="s">
        <v>382</v>
      </c>
      <c r="D105" s="56">
        <f>2568420+31580+2600000</f>
        <v>5200000</v>
      </c>
      <c r="E105" s="57" t="s">
        <v>372</v>
      </c>
      <c r="F105" s="58" t="s">
        <v>382</v>
      </c>
      <c r="G105" s="56">
        <f>2568420+31580+2600000</f>
        <v>5200000</v>
      </c>
      <c r="H105" s="57" t="s">
        <v>372</v>
      </c>
      <c r="I105" s="49"/>
      <c r="J105" s="50">
        <f t="shared" si="3"/>
        <v>0</v>
      </c>
      <c r="K105" s="49"/>
      <c r="L105" s="49"/>
      <c r="M105" s="49"/>
    </row>
    <row r="106" spans="2:13" x14ac:dyDescent="0.25">
      <c r="B106" s="71"/>
      <c r="C106" s="55" t="s">
        <v>382</v>
      </c>
      <c r="D106" s="56">
        <v>1007244</v>
      </c>
      <c r="E106" s="57" t="s">
        <v>372</v>
      </c>
      <c r="F106" s="58" t="s">
        <v>382</v>
      </c>
      <c r="G106" s="56">
        <v>1007244</v>
      </c>
      <c r="H106" s="57" t="s">
        <v>372</v>
      </c>
      <c r="I106" s="49"/>
      <c r="J106" s="50">
        <f t="shared" si="3"/>
        <v>0</v>
      </c>
      <c r="K106" s="49"/>
      <c r="L106" s="49"/>
      <c r="M106" s="49"/>
    </row>
    <row r="107" spans="2:13" x14ac:dyDescent="0.25">
      <c r="B107" s="71"/>
      <c r="C107" s="55" t="s">
        <v>382</v>
      </c>
      <c r="D107" s="56">
        <f>3852360+(47640+550000+100000)</f>
        <v>4550000</v>
      </c>
      <c r="E107" s="57" t="s">
        <v>372</v>
      </c>
      <c r="F107" s="58" t="s">
        <v>382</v>
      </c>
      <c r="G107" s="56">
        <f>3852360+(47640+550000+100000)</f>
        <v>4550000</v>
      </c>
      <c r="H107" s="57" t="s">
        <v>372</v>
      </c>
      <c r="I107" s="49"/>
      <c r="J107" s="50">
        <f t="shared" si="3"/>
        <v>0</v>
      </c>
      <c r="K107" s="49"/>
      <c r="L107" s="49"/>
      <c r="M107" s="49"/>
    </row>
    <row r="108" spans="2:13" x14ac:dyDescent="0.25">
      <c r="B108" s="71"/>
      <c r="C108" s="55" t="s">
        <v>382</v>
      </c>
      <c r="D108" s="56">
        <f>2568240+31760</f>
        <v>2600000</v>
      </c>
      <c r="E108" s="57" t="s">
        <v>372</v>
      </c>
      <c r="F108" s="58" t="s">
        <v>382</v>
      </c>
      <c r="G108" s="56">
        <f>2568240+31760</f>
        <v>2600000</v>
      </c>
      <c r="H108" s="57" t="s">
        <v>372</v>
      </c>
      <c r="I108" s="49"/>
      <c r="J108" s="50">
        <f t="shared" ref="J108:J139" si="4">G108-D108</f>
        <v>0</v>
      </c>
      <c r="K108" s="49"/>
      <c r="L108" s="49"/>
      <c r="M108" s="49"/>
    </row>
    <row r="109" spans="2:13" x14ac:dyDescent="0.25">
      <c r="B109" s="71"/>
      <c r="C109" s="55" t="s">
        <v>382</v>
      </c>
      <c r="D109" s="56">
        <f>23622554.46+2682406</f>
        <v>26304960.460000001</v>
      </c>
      <c r="E109" s="57" t="s">
        <v>372</v>
      </c>
      <c r="F109" s="58" t="s">
        <v>382</v>
      </c>
      <c r="G109" s="56">
        <f>23622554.46+2682406</f>
        <v>26304960.460000001</v>
      </c>
      <c r="H109" s="57" t="s">
        <v>372</v>
      </c>
      <c r="I109" s="49"/>
      <c r="J109" s="50">
        <f t="shared" si="4"/>
        <v>0</v>
      </c>
      <c r="K109" s="49"/>
      <c r="L109" s="49"/>
      <c r="M109" s="49"/>
    </row>
    <row r="110" spans="2:13" x14ac:dyDescent="0.25">
      <c r="B110" s="71"/>
      <c r="C110" s="55" t="s">
        <v>382</v>
      </c>
      <c r="D110" s="56">
        <v>3855840.0000000005</v>
      </c>
      <c r="E110" s="57" t="s">
        <v>372</v>
      </c>
      <c r="F110" s="58" t="s">
        <v>382</v>
      </c>
      <c r="G110" s="56">
        <v>3855840.0000000005</v>
      </c>
      <c r="H110" s="57" t="s">
        <v>372</v>
      </c>
      <c r="I110" s="49"/>
      <c r="J110" s="50">
        <f t="shared" si="4"/>
        <v>0</v>
      </c>
      <c r="K110" s="49"/>
      <c r="L110" s="49"/>
      <c r="M110" s="49"/>
    </row>
    <row r="111" spans="2:13" x14ac:dyDescent="0.25">
      <c r="B111" s="71"/>
      <c r="C111" s="55" t="s">
        <v>382</v>
      </c>
      <c r="D111" s="56">
        <v>22462317.800000001</v>
      </c>
      <c r="E111" s="57" t="s">
        <v>372</v>
      </c>
      <c r="F111" s="58" t="s">
        <v>382</v>
      </c>
      <c r="G111" s="56">
        <v>22462317.800000001</v>
      </c>
      <c r="H111" s="57" t="s">
        <v>372</v>
      </c>
      <c r="I111" s="49"/>
      <c r="J111" s="50">
        <f t="shared" si="4"/>
        <v>0</v>
      </c>
      <c r="K111" s="49"/>
      <c r="L111" s="49"/>
      <c r="M111" s="49"/>
    </row>
    <row r="112" spans="2:13" x14ac:dyDescent="0.25">
      <c r="B112" s="71"/>
      <c r="C112" s="55" t="s">
        <v>382</v>
      </c>
      <c r="D112" s="56">
        <f>5136480+63520</f>
        <v>5200000</v>
      </c>
      <c r="E112" s="57" t="s">
        <v>372</v>
      </c>
      <c r="F112" s="58" t="s">
        <v>382</v>
      </c>
      <c r="G112" s="56">
        <f>5136480+63520</f>
        <v>5200000</v>
      </c>
      <c r="H112" s="57" t="s">
        <v>372</v>
      </c>
      <c r="I112" s="49"/>
      <c r="J112" s="50">
        <f t="shared" si="4"/>
        <v>0</v>
      </c>
      <c r="K112" s="49"/>
      <c r="L112" s="49"/>
      <c r="M112" s="49"/>
    </row>
    <row r="113" spans="2:13" x14ac:dyDescent="0.25">
      <c r="B113" s="71"/>
      <c r="C113" s="55" t="s">
        <v>382</v>
      </c>
      <c r="D113" s="56">
        <f>3852360+47640</f>
        <v>3900000</v>
      </c>
      <c r="E113" s="57" t="s">
        <v>372</v>
      </c>
      <c r="F113" s="58" t="s">
        <v>382</v>
      </c>
      <c r="G113" s="56">
        <f>3852360+47640</f>
        <v>3900000</v>
      </c>
      <c r="H113" s="57" t="s">
        <v>372</v>
      </c>
      <c r="I113" s="49"/>
      <c r="J113" s="50">
        <f t="shared" si="4"/>
        <v>0</v>
      </c>
      <c r="K113" s="49"/>
      <c r="L113" s="49"/>
      <c r="M113" s="49"/>
    </row>
    <row r="114" spans="2:13" x14ac:dyDescent="0.25">
      <c r="B114" s="71"/>
      <c r="C114" s="55" t="s">
        <v>382</v>
      </c>
      <c r="D114" s="56">
        <v>5479650</v>
      </c>
      <c r="E114" s="57" t="s">
        <v>372</v>
      </c>
      <c r="F114" s="58" t="s">
        <v>382</v>
      </c>
      <c r="G114" s="56">
        <v>5479650</v>
      </c>
      <c r="H114" s="57" t="s">
        <v>372</v>
      </c>
      <c r="I114" s="49"/>
      <c r="J114" s="50">
        <f t="shared" si="4"/>
        <v>0</v>
      </c>
      <c r="K114" s="49"/>
      <c r="L114" s="49"/>
      <c r="M114" s="49"/>
    </row>
    <row r="115" spans="2:13" x14ac:dyDescent="0.25">
      <c r="B115" s="71"/>
      <c r="C115" s="55" t="s">
        <v>382</v>
      </c>
      <c r="D115" s="56">
        <f>13809000-(266400+3232406+2631580+100000)</f>
        <v>7578614</v>
      </c>
      <c r="E115" s="57" t="s">
        <v>372</v>
      </c>
      <c r="F115" s="58" t="s">
        <v>382</v>
      </c>
      <c r="G115" s="56">
        <f>13809000-(266400+3232406+2631580+100000)</f>
        <v>7578614</v>
      </c>
      <c r="H115" s="57" t="s">
        <v>372</v>
      </c>
      <c r="I115" s="49"/>
      <c r="J115" s="50">
        <f t="shared" si="4"/>
        <v>0</v>
      </c>
      <c r="K115" s="49"/>
      <c r="L115" s="49"/>
      <c r="M115" s="49"/>
    </row>
    <row r="116" spans="2:13" x14ac:dyDescent="0.25">
      <c r="B116" s="71"/>
      <c r="C116" s="55" t="s">
        <v>382</v>
      </c>
      <c r="D116" s="56">
        <v>7915050</v>
      </c>
      <c r="E116" s="57" t="s">
        <v>372</v>
      </c>
      <c r="F116" s="58" t="s">
        <v>382</v>
      </c>
      <c r="G116" s="56">
        <v>7915050</v>
      </c>
      <c r="H116" s="57" t="s">
        <v>372</v>
      </c>
      <c r="I116" s="49"/>
      <c r="J116" s="50">
        <f t="shared" si="4"/>
        <v>0</v>
      </c>
      <c r="K116" s="49"/>
      <c r="L116" s="49"/>
      <c r="M116" s="49"/>
    </row>
    <row r="117" spans="2:13" ht="33.75" x14ac:dyDescent="0.25">
      <c r="B117" s="71"/>
      <c r="C117" s="61" t="s">
        <v>411</v>
      </c>
      <c r="D117" s="62">
        <v>297558400</v>
      </c>
      <c r="E117" s="89" t="s">
        <v>153</v>
      </c>
      <c r="F117" s="63" t="s">
        <v>411</v>
      </c>
      <c r="G117" s="62">
        <v>297558400</v>
      </c>
      <c r="H117" s="89" t="s">
        <v>153</v>
      </c>
      <c r="I117" s="49"/>
      <c r="J117" s="50">
        <f t="shared" si="4"/>
        <v>0</v>
      </c>
      <c r="K117" s="49"/>
      <c r="L117" s="49"/>
      <c r="M117" s="49"/>
    </row>
    <row r="118" spans="2:13" ht="33.75" x14ac:dyDescent="0.25">
      <c r="B118" s="71"/>
      <c r="C118" s="61" t="s">
        <v>415</v>
      </c>
      <c r="D118" s="62">
        <v>5451159</v>
      </c>
      <c r="E118" s="89" t="s">
        <v>153</v>
      </c>
      <c r="F118" s="63" t="s">
        <v>1162</v>
      </c>
      <c r="G118" s="62">
        <v>5451159</v>
      </c>
      <c r="H118" s="89" t="s">
        <v>153</v>
      </c>
      <c r="I118" s="49"/>
      <c r="J118" s="50">
        <f t="shared" si="4"/>
        <v>0</v>
      </c>
      <c r="K118" s="49"/>
      <c r="L118" s="49"/>
      <c r="M118" s="49"/>
    </row>
    <row r="119" spans="2:13" s="87" customFormat="1" ht="33.75" x14ac:dyDescent="0.2">
      <c r="B119" s="83"/>
      <c r="C119" s="84" t="s">
        <v>417</v>
      </c>
      <c r="D119" s="75">
        <v>0</v>
      </c>
      <c r="E119" s="85" t="s">
        <v>153</v>
      </c>
      <c r="F119" s="77" t="s">
        <v>1163</v>
      </c>
      <c r="G119" s="75">
        <v>128528000</v>
      </c>
      <c r="H119" s="76" t="s">
        <v>153</v>
      </c>
      <c r="I119" s="86" t="s">
        <v>1155</v>
      </c>
      <c r="J119" s="81">
        <f t="shared" si="4"/>
        <v>128528000</v>
      </c>
      <c r="K119" s="86"/>
      <c r="L119" s="86"/>
      <c r="M119" s="86"/>
    </row>
    <row r="120" spans="2:13" ht="33.75" x14ac:dyDescent="0.25">
      <c r="B120" s="71"/>
      <c r="C120" s="61" t="s">
        <v>419</v>
      </c>
      <c r="D120" s="62">
        <v>48086473</v>
      </c>
      <c r="E120" s="89" t="s">
        <v>153</v>
      </c>
      <c r="F120" s="63" t="s">
        <v>419</v>
      </c>
      <c r="G120" s="62">
        <v>48086473</v>
      </c>
      <c r="H120" s="89" t="s">
        <v>153</v>
      </c>
      <c r="I120" s="49"/>
      <c r="J120" s="50">
        <f t="shared" si="4"/>
        <v>0</v>
      </c>
      <c r="K120" s="49"/>
      <c r="L120" s="49"/>
      <c r="M120" s="49"/>
    </row>
    <row r="121" spans="2:13" ht="33.75" x14ac:dyDescent="0.25">
      <c r="B121" s="71"/>
      <c r="C121" s="61" t="s">
        <v>411</v>
      </c>
      <c r="D121" s="62">
        <v>9756393</v>
      </c>
      <c r="E121" s="89" t="s">
        <v>153</v>
      </c>
      <c r="F121" s="63" t="s">
        <v>411</v>
      </c>
      <c r="G121" s="62">
        <v>9756393</v>
      </c>
      <c r="H121" s="89" t="s">
        <v>153</v>
      </c>
      <c r="I121" s="49"/>
      <c r="J121" s="50">
        <f t="shared" si="4"/>
        <v>0</v>
      </c>
      <c r="K121" s="49"/>
      <c r="L121" s="49"/>
      <c r="M121" s="49"/>
    </row>
    <row r="122" spans="2:13" ht="33.75" x14ac:dyDescent="0.25">
      <c r="B122" s="71"/>
      <c r="C122" s="61" t="s">
        <v>421</v>
      </c>
      <c r="D122" s="62">
        <v>4769763</v>
      </c>
      <c r="E122" s="89" t="s">
        <v>153</v>
      </c>
      <c r="F122" s="63" t="s">
        <v>421</v>
      </c>
      <c r="G122" s="62">
        <v>4769763</v>
      </c>
      <c r="H122" s="89" t="s">
        <v>153</v>
      </c>
      <c r="I122" s="49"/>
      <c r="J122" s="50">
        <f t="shared" si="4"/>
        <v>0</v>
      </c>
      <c r="K122" s="49"/>
      <c r="L122" s="49"/>
      <c r="M122" s="49"/>
    </row>
    <row r="123" spans="2:13" ht="33.75" x14ac:dyDescent="0.25">
      <c r="B123" s="71"/>
      <c r="C123" s="61" t="s">
        <v>423</v>
      </c>
      <c r="D123" s="62">
        <v>33889822</v>
      </c>
      <c r="E123" s="89" t="s">
        <v>153</v>
      </c>
      <c r="F123" s="63" t="s">
        <v>1164</v>
      </c>
      <c r="G123" s="62">
        <v>33889822</v>
      </c>
      <c r="H123" s="89" t="s">
        <v>153</v>
      </c>
      <c r="I123" s="49"/>
      <c r="J123" s="50">
        <f t="shared" si="4"/>
        <v>0</v>
      </c>
      <c r="K123" s="49"/>
      <c r="L123" s="49"/>
      <c r="M123" s="49"/>
    </row>
    <row r="124" spans="2:13" ht="33.75" x14ac:dyDescent="0.25">
      <c r="B124" s="71"/>
      <c r="C124" s="61" t="s">
        <v>425</v>
      </c>
      <c r="D124" s="62">
        <v>28750000</v>
      </c>
      <c r="E124" s="89" t="s">
        <v>153</v>
      </c>
      <c r="F124" s="63" t="s">
        <v>1165</v>
      </c>
      <c r="G124" s="62">
        <v>28750000</v>
      </c>
      <c r="H124" s="89" t="s">
        <v>153</v>
      </c>
      <c r="I124" s="49"/>
      <c r="J124" s="50">
        <f t="shared" si="4"/>
        <v>0</v>
      </c>
      <c r="K124" s="49"/>
      <c r="L124" s="49"/>
      <c r="M124" s="49"/>
    </row>
    <row r="125" spans="2:13" ht="33.75" x14ac:dyDescent="0.25">
      <c r="B125" s="71"/>
      <c r="C125" s="61" t="s">
        <v>427</v>
      </c>
      <c r="D125" s="62">
        <v>125001278</v>
      </c>
      <c r="E125" s="89" t="s">
        <v>153</v>
      </c>
      <c r="F125" s="63" t="s">
        <v>1166</v>
      </c>
      <c r="G125" s="62">
        <v>125001278</v>
      </c>
      <c r="H125" s="89" t="s">
        <v>153</v>
      </c>
      <c r="I125" s="49"/>
      <c r="J125" s="50">
        <f t="shared" si="4"/>
        <v>0</v>
      </c>
      <c r="K125" s="49"/>
      <c r="L125" s="49"/>
      <c r="M125" s="49"/>
    </row>
    <row r="126" spans="2:13" x14ac:dyDescent="0.25">
      <c r="B126" s="71"/>
      <c r="C126" s="55" t="s">
        <v>430</v>
      </c>
      <c r="D126" s="56">
        <f>14000000+10000000</f>
        <v>24000000</v>
      </c>
      <c r="E126" s="89" t="s">
        <v>70</v>
      </c>
      <c r="F126" s="63" t="s">
        <v>430</v>
      </c>
      <c r="G126" s="62">
        <f>14000000+10000000</f>
        <v>24000000</v>
      </c>
      <c r="H126" s="89" t="s">
        <v>70</v>
      </c>
      <c r="I126" s="49"/>
      <c r="J126" s="50">
        <f t="shared" si="4"/>
        <v>0</v>
      </c>
      <c r="K126" s="49"/>
      <c r="L126" s="49"/>
      <c r="M126" s="49"/>
    </row>
    <row r="127" spans="2:13" s="223" customFormat="1" ht="23.25" x14ac:dyDescent="0.25">
      <c r="B127" s="90" t="s">
        <v>1229</v>
      </c>
      <c r="C127" s="219" t="s">
        <v>430</v>
      </c>
      <c r="D127" s="62">
        <f>18000000+50000000+10000000-(20700000+3500000)-53800000</f>
        <v>0</v>
      </c>
      <c r="E127" s="220" t="s">
        <v>143</v>
      </c>
      <c r="F127" s="219" t="s">
        <v>430</v>
      </c>
      <c r="G127" s="62">
        <f>18000000+50000000+10000000-(20700000+3500000)</f>
        <v>53800000</v>
      </c>
      <c r="H127" s="220" t="s">
        <v>143</v>
      </c>
      <c r="I127" s="221"/>
      <c r="J127" s="222">
        <f t="shared" si="4"/>
        <v>53800000</v>
      </c>
      <c r="K127" s="221"/>
      <c r="L127" s="221"/>
      <c r="M127" s="221"/>
    </row>
    <row r="128" spans="2:13" s="79" customFormat="1" x14ac:dyDescent="0.25">
      <c r="B128" s="83"/>
      <c r="C128" s="74" t="s">
        <v>434</v>
      </c>
      <c r="D128" s="75">
        <v>185640000</v>
      </c>
      <c r="E128" s="76" t="s">
        <v>143</v>
      </c>
      <c r="F128" s="77" t="s">
        <v>434</v>
      </c>
      <c r="G128" s="75">
        <v>197640000.00000003</v>
      </c>
      <c r="H128" s="76" t="s">
        <v>143</v>
      </c>
      <c r="I128" s="73" t="s">
        <v>1155</v>
      </c>
      <c r="J128" s="78">
        <f t="shared" si="4"/>
        <v>12000000.00000003</v>
      </c>
      <c r="K128" s="73"/>
      <c r="L128" s="73"/>
      <c r="M128" s="73"/>
    </row>
    <row r="129" spans="2:13" x14ac:dyDescent="0.25">
      <c r="B129" s="71"/>
      <c r="C129" s="55" t="s">
        <v>437</v>
      </c>
      <c r="D129" s="56">
        <v>21840000</v>
      </c>
      <c r="E129" s="57" t="s">
        <v>143</v>
      </c>
      <c r="F129" s="58" t="s">
        <v>437</v>
      </c>
      <c r="G129" s="56">
        <v>21840000</v>
      </c>
      <c r="H129" s="57" t="s">
        <v>143</v>
      </c>
      <c r="I129" s="49"/>
      <c r="J129" s="50">
        <f t="shared" si="4"/>
        <v>0</v>
      </c>
      <c r="K129" s="49"/>
      <c r="L129" s="49"/>
      <c r="M129" s="49"/>
    </row>
    <row r="130" spans="2:13" x14ac:dyDescent="0.25">
      <c r="B130" s="71"/>
      <c r="C130" s="55" t="s">
        <v>440</v>
      </c>
      <c r="D130" s="56">
        <v>20000000</v>
      </c>
      <c r="E130" s="57" t="s">
        <v>443</v>
      </c>
      <c r="F130" s="58" t="s">
        <v>440</v>
      </c>
      <c r="G130" s="56">
        <v>20000000</v>
      </c>
      <c r="H130" s="57" t="s">
        <v>443</v>
      </c>
      <c r="I130" s="49"/>
      <c r="J130" s="50">
        <f t="shared" si="4"/>
        <v>0</v>
      </c>
      <c r="K130" s="49"/>
      <c r="L130" s="49"/>
      <c r="M130" s="49"/>
    </row>
    <row r="131" spans="2:13" x14ac:dyDescent="0.25">
      <c r="B131" s="71"/>
      <c r="C131" s="55" t="s">
        <v>445</v>
      </c>
      <c r="D131" s="56">
        <f>1035600000- 97767878</f>
        <v>937832122</v>
      </c>
      <c r="E131" s="57" t="s">
        <v>448</v>
      </c>
      <c r="F131" s="58" t="s">
        <v>445</v>
      </c>
      <c r="G131" s="56">
        <f>1035600000- 97767878</f>
        <v>937832122</v>
      </c>
      <c r="H131" s="57" t="s">
        <v>448</v>
      </c>
      <c r="I131" s="49"/>
      <c r="J131" s="50">
        <f t="shared" si="4"/>
        <v>0</v>
      </c>
      <c r="K131" s="49"/>
      <c r="L131" s="49"/>
      <c r="M131" s="49"/>
    </row>
    <row r="132" spans="2:13" x14ac:dyDescent="0.25">
      <c r="B132" s="71"/>
      <c r="C132" s="55" t="s">
        <v>450</v>
      </c>
      <c r="D132" s="56">
        <v>16000000</v>
      </c>
      <c r="E132" s="57" t="s">
        <v>453</v>
      </c>
      <c r="F132" s="58" t="s">
        <v>450</v>
      </c>
      <c r="G132" s="56">
        <v>16000000</v>
      </c>
      <c r="H132" s="57" t="s">
        <v>453</v>
      </c>
      <c r="I132" s="49"/>
      <c r="J132" s="50">
        <f t="shared" si="4"/>
        <v>0</v>
      </c>
      <c r="K132" s="49"/>
      <c r="L132" s="49"/>
      <c r="M132" s="49"/>
    </row>
    <row r="133" spans="2:13" x14ac:dyDescent="0.25">
      <c r="B133" s="71"/>
      <c r="C133" s="55" t="s">
        <v>455</v>
      </c>
      <c r="D133" s="56">
        <f>370000000+97767878</f>
        <v>467767878</v>
      </c>
      <c r="E133" s="57" t="s">
        <v>143</v>
      </c>
      <c r="F133" s="58" t="s">
        <v>455</v>
      </c>
      <c r="G133" s="56">
        <f>370000000+97767878</f>
        <v>467767878</v>
      </c>
      <c r="H133" s="57" t="s">
        <v>143</v>
      </c>
      <c r="I133" s="49"/>
      <c r="J133" s="50">
        <f t="shared" si="4"/>
        <v>0</v>
      </c>
      <c r="K133" s="49"/>
      <c r="L133" s="49"/>
      <c r="M133" s="49"/>
    </row>
    <row r="134" spans="2:13" s="79" customFormat="1" ht="23.25" x14ac:dyDescent="0.25">
      <c r="B134" s="90" t="s">
        <v>1202</v>
      </c>
      <c r="C134" s="74" t="s">
        <v>459</v>
      </c>
      <c r="D134" s="75">
        <v>197653799</v>
      </c>
      <c r="E134" s="76" t="s">
        <v>143</v>
      </c>
      <c r="F134" s="77" t="s">
        <v>459</v>
      </c>
      <c r="G134" s="75">
        <f>196262842-(8187043)</f>
        <v>188075799</v>
      </c>
      <c r="H134" s="76" t="s">
        <v>143</v>
      </c>
      <c r="I134" s="73"/>
      <c r="J134" s="91">
        <f t="shared" si="4"/>
        <v>-9578000</v>
      </c>
      <c r="K134" s="80">
        <v>188835799</v>
      </c>
      <c r="L134" s="78"/>
      <c r="M134" s="73"/>
    </row>
    <row r="135" spans="2:13" s="79" customFormat="1" x14ac:dyDescent="0.25">
      <c r="B135" s="90" t="s">
        <v>1203</v>
      </c>
      <c r="C135" s="74" t="s">
        <v>459</v>
      </c>
      <c r="D135" s="75">
        <v>233200000</v>
      </c>
      <c r="E135" s="76" t="s">
        <v>143</v>
      </c>
      <c r="F135" s="77" t="s">
        <v>459</v>
      </c>
      <c r="G135" s="75">
        <v>33200000</v>
      </c>
      <c r="H135" s="76" t="s">
        <v>143</v>
      </c>
      <c r="I135" s="73" t="s">
        <v>1156</v>
      </c>
      <c r="J135" s="78">
        <f t="shared" si="4"/>
        <v>-200000000</v>
      </c>
      <c r="K135" s="73">
        <v>0</v>
      </c>
      <c r="L135" s="73"/>
      <c r="M135" s="73"/>
    </row>
    <row r="136" spans="2:13" x14ac:dyDescent="0.25">
      <c r="B136" s="71"/>
      <c r="C136" s="55" t="s">
        <v>459</v>
      </c>
      <c r="D136" s="56">
        <v>2400000</v>
      </c>
      <c r="E136" s="57" t="s">
        <v>143</v>
      </c>
      <c r="F136" s="58" t="s">
        <v>459</v>
      </c>
      <c r="G136" s="56">
        <v>2400000</v>
      </c>
      <c r="H136" s="57" t="s">
        <v>143</v>
      </c>
      <c r="I136" s="49"/>
      <c r="J136" s="50">
        <f t="shared" si="4"/>
        <v>0</v>
      </c>
      <c r="K136" s="49"/>
      <c r="L136" s="49"/>
      <c r="M136" s="49"/>
    </row>
    <row r="137" spans="2:13" x14ac:dyDescent="0.25">
      <c r="B137" s="71"/>
      <c r="C137" s="55" t="s">
        <v>459</v>
      </c>
      <c r="D137" s="56">
        <v>15664957</v>
      </c>
      <c r="E137" s="57" t="s">
        <v>143</v>
      </c>
      <c r="F137" s="58" t="s">
        <v>459</v>
      </c>
      <c r="G137" s="56">
        <v>15664957</v>
      </c>
      <c r="H137" s="57" t="s">
        <v>143</v>
      </c>
      <c r="I137" s="49"/>
      <c r="J137" s="50">
        <f t="shared" si="4"/>
        <v>0</v>
      </c>
      <c r="K137" s="49"/>
      <c r="L137" s="49"/>
      <c r="M137" s="49"/>
    </row>
    <row r="138" spans="2:13" s="79" customFormat="1" x14ac:dyDescent="0.25">
      <c r="B138" s="83"/>
      <c r="C138" s="74" t="s">
        <v>459</v>
      </c>
      <c r="D138" s="75">
        <v>4322282</v>
      </c>
      <c r="E138" s="76" t="s">
        <v>143</v>
      </c>
      <c r="F138" s="77" t="s">
        <v>459</v>
      </c>
      <c r="G138" s="75">
        <v>960000</v>
      </c>
      <c r="H138" s="76" t="s">
        <v>143</v>
      </c>
      <c r="I138" s="73" t="s">
        <v>1155</v>
      </c>
      <c r="J138" s="78">
        <f t="shared" si="4"/>
        <v>-3362282</v>
      </c>
      <c r="K138" s="73"/>
      <c r="L138" s="73"/>
      <c r="M138" s="73"/>
    </row>
    <row r="139" spans="2:13" s="79" customFormat="1" x14ac:dyDescent="0.25">
      <c r="B139" s="83"/>
      <c r="C139" s="74" t="s">
        <v>459</v>
      </c>
      <c r="D139" s="75">
        <v>52159181</v>
      </c>
      <c r="E139" s="76" t="s">
        <v>143</v>
      </c>
      <c r="F139" s="77" t="s">
        <v>459</v>
      </c>
      <c r="G139" s="75">
        <f>41427771</f>
        <v>41427771</v>
      </c>
      <c r="H139" s="76" t="s">
        <v>143</v>
      </c>
      <c r="I139" s="73" t="s">
        <v>1155</v>
      </c>
      <c r="J139" s="78">
        <f t="shared" si="4"/>
        <v>-10731410</v>
      </c>
      <c r="K139" s="73"/>
      <c r="L139" s="73"/>
      <c r="M139" s="73"/>
    </row>
    <row r="140" spans="2:13" x14ac:dyDescent="0.25">
      <c r="B140" s="71"/>
      <c r="C140" s="55" t="s">
        <v>111</v>
      </c>
      <c r="D140" s="56">
        <v>59629999</v>
      </c>
      <c r="E140" s="57" t="s">
        <v>466</v>
      </c>
      <c r="F140" s="58" t="s">
        <v>111</v>
      </c>
      <c r="G140" s="56">
        <v>59629999</v>
      </c>
      <c r="H140" s="57" t="s">
        <v>466</v>
      </c>
      <c r="I140" s="49"/>
      <c r="J140" s="50">
        <f t="shared" ref="J140:J171" si="5">G140-D140</f>
        <v>0</v>
      </c>
      <c r="K140" s="49"/>
      <c r="L140" s="49"/>
      <c r="M140" s="49"/>
    </row>
    <row r="141" spans="2:13" x14ac:dyDescent="0.25">
      <c r="B141" s="71"/>
      <c r="C141" s="55" t="s">
        <v>120</v>
      </c>
      <c r="D141" s="56">
        <v>125580000</v>
      </c>
      <c r="E141" s="57" t="s">
        <v>469</v>
      </c>
      <c r="F141" s="58" t="s">
        <v>120</v>
      </c>
      <c r="G141" s="56">
        <v>125580000</v>
      </c>
      <c r="H141" s="57" t="s">
        <v>469</v>
      </c>
      <c r="I141" s="49"/>
      <c r="J141" s="50">
        <f t="shared" si="5"/>
        <v>0</v>
      </c>
      <c r="K141" s="49"/>
      <c r="L141" s="49"/>
      <c r="M141" s="49"/>
    </row>
    <row r="142" spans="2:13" x14ac:dyDescent="0.25">
      <c r="B142" s="71"/>
      <c r="C142" s="55" t="s">
        <v>120</v>
      </c>
      <c r="D142" s="56">
        <f>16000000-(240000+115000)</f>
        <v>15645000</v>
      </c>
      <c r="E142" s="57" t="s">
        <v>143</v>
      </c>
      <c r="F142" s="58" t="s">
        <v>120</v>
      </c>
      <c r="G142" s="56">
        <f>16000000-(240000+115000)</f>
        <v>15645000</v>
      </c>
      <c r="H142" s="57" t="s">
        <v>143</v>
      </c>
      <c r="I142" s="49"/>
      <c r="J142" s="50">
        <f t="shared" si="5"/>
        <v>0</v>
      </c>
      <c r="K142" s="49"/>
      <c r="L142" s="49"/>
      <c r="M142" s="49"/>
    </row>
    <row r="143" spans="2:13" x14ac:dyDescent="0.25">
      <c r="B143" s="71"/>
      <c r="C143" s="55" t="s">
        <v>123</v>
      </c>
      <c r="D143" s="56">
        <v>129000000</v>
      </c>
      <c r="E143" s="57" t="s">
        <v>474</v>
      </c>
      <c r="F143" s="58" t="s">
        <v>123</v>
      </c>
      <c r="G143" s="56">
        <v>129000000</v>
      </c>
      <c r="H143" s="57" t="s">
        <v>474</v>
      </c>
      <c r="I143" s="49"/>
      <c r="J143" s="50">
        <f t="shared" si="5"/>
        <v>0</v>
      </c>
      <c r="K143" s="49"/>
      <c r="L143" s="49"/>
      <c r="M143" s="49"/>
    </row>
    <row r="144" spans="2:13" x14ac:dyDescent="0.25">
      <c r="B144" s="71"/>
      <c r="C144" s="55" t="s">
        <v>123</v>
      </c>
      <c r="D144" s="56">
        <f>50000000-(11100000+6650600)</f>
        <v>32249400</v>
      </c>
      <c r="E144" s="57" t="s">
        <v>477</v>
      </c>
      <c r="F144" s="58" t="s">
        <v>123</v>
      </c>
      <c r="G144" s="56">
        <f>50000000-(11100000+6650600)</f>
        <v>32249400</v>
      </c>
      <c r="H144" s="57" t="s">
        <v>477</v>
      </c>
      <c r="I144" s="49"/>
      <c r="J144" s="50">
        <f t="shared" si="5"/>
        <v>0</v>
      </c>
      <c r="K144" s="49"/>
      <c r="L144" s="49"/>
      <c r="M144" s="49"/>
    </row>
    <row r="145" spans="2:13" x14ac:dyDescent="0.25">
      <c r="B145" s="71"/>
      <c r="C145" s="55" t="s">
        <v>128</v>
      </c>
      <c r="D145" s="56">
        <f>25000000+5550000</f>
        <v>30550000</v>
      </c>
      <c r="E145" s="57" t="s">
        <v>481</v>
      </c>
      <c r="F145" s="58" t="s">
        <v>128</v>
      </c>
      <c r="G145" s="56">
        <f>25000000+5550000</f>
        <v>30550000</v>
      </c>
      <c r="H145" s="57" t="s">
        <v>481</v>
      </c>
      <c r="I145" s="49"/>
      <c r="J145" s="50">
        <f t="shared" si="5"/>
        <v>0</v>
      </c>
      <c r="K145" s="49"/>
      <c r="L145" s="49"/>
      <c r="M145" s="49"/>
    </row>
    <row r="146" spans="2:13" x14ac:dyDescent="0.25">
      <c r="B146" s="71"/>
      <c r="C146" s="55" t="s">
        <v>111</v>
      </c>
      <c r="D146" s="56">
        <v>7092401</v>
      </c>
      <c r="E146" s="57" t="s">
        <v>485</v>
      </c>
      <c r="F146" s="58" t="s">
        <v>111</v>
      </c>
      <c r="G146" s="56">
        <v>7092401</v>
      </c>
      <c r="H146" s="57" t="s">
        <v>485</v>
      </c>
      <c r="I146" s="49"/>
      <c r="J146" s="50">
        <f t="shared" si="5"/>
        <v>0</v>
      </c>
      <c r="K146" s="49"/>
      <c r="L146" s="49"/>
      <c r="M146" s="49"/>
    </row>
    <row r="147" spans="2:13" x14ac:dyDescent="0.25">
      <c r="B147" s="71"/>
      <c r="C147" s="55" t="s">
        <v>114</v>
      </c>
      <c r="D147" s="56">
        <v>2357600</v>
      </c>
      <c r="E147" s="57" t="s">
        <v>485</v>
      </c>
      <c r="F147" s="58" t="s">
        <v>114</v>
      </c>
      <c r="G147" s="56">
        <v>2357600</v>
      </c>
      <c r="H147" s="57" t="s">
        <v>485</v>
      </c>
      <c r="I147" s="49"/>
      <c r="J147" s="50">
        <f t="shared" si="5"/>
        <v>0</v>
      </c>
      <c r="K147" s="49"/>
      <c r="L147" s="49"/>
      <c r="M147" s="49"/>
    </row>
    <row r="148" spans="2:13" x14ac:dyDescent="0.25">
      <c r="B148" s="71"/>
      <c r="C148" s="55" t="s">
        <v>120</v>
      </c>
      <c r="D148" s="56">
        <v>14000000</v>
      </c>
      <c r="E148" s="57" t="s">
        <v>143</v>
      </c>
      <c r="F148" s="58" t="s">
        <v>120</v>
      </c>
      <c r="G148" s="56">
        <v>14000000</v>
      </c>
      <c r="H148" s="57" t="s">
        <v>143</v>
      </c>
      <c r="I148" s="49"/>
      <c r="J148" s="50">
        <f t="shared" si="5"/>
        <v>0</v>
      </c>
      <c r="K148" s="49"/>
      <c r="L148" s="49"/>
      <c r="M148" s="49"/>
    </row>
    <row r="149" spans="2:13" x14ac:dyDescent="0.25">
      <c r="B149" s="71"/>
      <c r="C149" s="55" t="s">
        <v>123</v>
      </c>
      <c r="D149" s="56">
        <f>10000000-10000000</f>
        <v>0</v>
      </c>
      <c r="E149" s="57" t="s">
        <v>491</v>
      </c>
      <c r="F149" s="58" t="s">
        <v>123</v>
      </c>
      <c r="G149" s="56">
        <f>10000000-10000000</f>
        <v>0</v>
      </c>
      <c r="H149" s="57" t="s">
        <v>491</v>
      </c>
      <c r="I149" s="49"/>
      <c r="J149" s="50">
        <f t="shared" si="5"/>
        <v>0</v>
      </c>
      <c r="K149" s="49"/>
      <c r="L149" s="49"/>
      <c r="M149" s="49"/>
    </row>
    <row r="150" spans="2:13" x14ac:dyDescent="0.25">
      <c r="B150" s="71"/>
      <c r="C150" s="55" t="s">
        <v>123</v>
      </c>
      <c r="D150" s="56">
        <f>5600000-2771109</f>
        <v>2828891</v>
      </c>
      <c r="E150" s="57" t="s">
        <v>494</v>
      </c>
      <c r="F150" s="58" t="s">
        <v>123</v>
      </c>
      <c r="G150" s="56">
        <f>5600000-2771109</f>
        <v>2828891</v>
      </c>
      <c r="H150" s="57" t="s">
        <v>494</v>
      </c>
      <c r="I150" s="49"/>
      <c r="J150" s="50">
        <f t="shared" si="5"/>
        <v>0</v>
      </c>
      <c r="K150" s="49"/>
      <c r="L150" s="49"/>
      <c r="M150" s="49"/>
    </row>
    <row r="151" spans="2:13" x14ac:dyDescent="0.25">
      <c r="B151" s="71"/>
      <c r="C151" s="55" t="s">
        <v>123</v>
      </c>
      <c r="D151" s="56">
        <f>15000000-(8440000+6560000)</f>
        <v>0</v>
      </c>
      <c r="E151" s="57" t="s">
        <v>497</v>
      </c>
      <c r="F151" s="58" t="s">
        <v>123</v>
      </c>
      <c r="G151" s="56">
        <f>15000000-(8440000+6560000)</f>
        <v>0</v>
      </c>
      <c r="H151" s="57" t="s">
        <v>497</v>
      </c>
      <c r="I151" s="49"/>
      <c r="J151" s="50">
        <f t="shared" si="5"/>
        <v>0</v>
      </c>
      <c r="K151" s="49"/>
      <c r="L151" s="49"/>
      <c r="M151" s="49"/>
    </row>
    <row r="152" spans="2:13" x14ac:dyDescent="0.25">
      <c r="B152" s="71"/>
      <c r="C152" s="55" t="s">
        <v>123</v>
      </c>
      <c r="D152" s="56">
        <v>15000000</v>
      </c>
      <c r="E152" s="57" t="s">
        <v>501</v>
      </c>
      <c r="F152" s="58" t="s">
        <v>123</v>
      </c>
      <c r="G152" s="56">
        <v>15000000</v>
      </c>
      <c r="H152" s="57" t="s">
        <v>501</v>
      </c>
      <c r="I152" s="49"/>
      <c r="J152" s="50">
        <f t="shared" si="5"/>
        <v>0</v>
      </c>
      <c r="K152" s="49"/>
      <c r="L152" s="49"/>
      <c r="M152" s="49"/>
    </row>
    <row r="153" spans="2:13" x14ac:dyDescent="0.25">
      <c r="B153" s="71"/>
      <c r="C153" s="55" t="s">
        <v>123</v>
      </c>
      <c r="D153" s="56">
        <f>10000000+45977953-(700000+14035335+37519350+2998800)</f>
        <v>724468</v>
      </c>
      <c r="E153" s="57" t="s">
        <v>504</v>
      </c>
      <c r="F153" s="58" t="s">
        <v>123</v>
      </c>
      <c r="G153" s="56">
        <f>10000000+45977953-(700000+14035335+37519350+2998800)</f>
        <v>724468</v>
      </c>
      <c r="H153" s="57" t="s">
        <v>504</v>
      </c>
      <c r="I153" s="49"/>
      <c r="J153" s="50">
        <f t="shared" si="5"/>
        <v>0</v>
      </c>
      <c r="K153" s="49"/>
      <c r="L153" s="49"/>
      <c r="M153" s="49"/>
    </row>
    <row r="154" spans="2:13" x14ac:dyDescent="0.25">
      <c r="B154" s="71"/>
      <c r="C154" s="55" t="s">
        <v>126</v>
      </c>
      <c r="D154" s="56">
        <v>16000000</v>
      </c>
      <c r="E154" s="57" t="s">
        <v>507</v>
      </c>
      <c r="F154" s="58" t="s">
        <v>126</v>
      </c>
      <c r="G154" s="56">
        <v>16000000</v>
      </c>
      <c r="H154" s="57" t="s">
        <v>507</v>
      </c>
      <c r="I154" s="49"/>
      <c r="J154" s="50">
        <f t="shared" si="5"/>
        <v>0</v>
      </c>
      <c r="K154" s="49"/>
      <c r="L154" s="49"/>
      <c r="M154" s="49"/>
    </row>
    <row r="155" spans="2:13" x14ac:dyDescent="0.25">
      <c r="B155" s="71"/>
      <c r="C155" s="55" t="s">
        <v>120</v>
      </c>
      <c r="D155" s="56">
        <v>76157808</v>
      </c>
      <c r="E155" s="57" t="s">
        <v>510</v>
      </c>
      <c r="F155" s="58" t="s">
        <v>120</v>
      </c>
      <c r="G155" s="56">
        <v>76157808</v>
      </c>
      <c r="H155" s="57" t="s">
        <v>510</v>
      </c>
      <c r="I155" s="49"/>
      <c r="J155" s="50">
        <f t="shared" si="5"/>
        <v>0</v>
      </c>
      <c r="K155" s="49"/>
      <c r="L155" s="49"/>
      <c r="M155" s="49"/>
    </row>
    <row r="156" spans="2:13" x14ac:dyDescent="0.25">
      <c r="B156" s="71"/>
      <c r="C156" s="55" t="s">
        <v>120</v>
      </c>
      <c r="D156" s="56">
        <v>76157808</v>
      </c>
      <c r="E156" s="57" t="s">
        <v>510</v>
      </c>
      <c r="F156" s="58" t="s">
        <v>120</v>
      </c>
      <c r="G156" s="56">
        <v>76157808</v>
      </c>
      <c r="H156" s="57" t="s">
        <v>510</v>
      </c>
      <c r="I156" s="49"/>
      <c r="J156" s="50">
        <f t="shared" si="5"/>
        <v>0</v>
      </c>
      <c r="K156" s="49"/>
      <c r="L156" s="49"/>
      <c r="M156" s="49"/>
    </row>
    <row r="157" spans="2:13" ht="22.5" x14ac:dyDescent="0.25">
      <c r="B157" s="71"/>
      <c r="C157" s="55" t="s">
        <v>123</v>
      </c>
      <c r="D157" s="56">
        <v>4323281996</v>
      </c>
      <c r="E157" s="57" t="s">
        <v>231</v>
      </c>
      <c r="F157" s="58" t="s">
        <v>123</v>
      </c>
      <c r="G157" s="56">
        <v>4323281996</v>
      </c>
      <c r="H157" s="57" t="s">
        <v>231</v>
      </c>
      <c r="I157" s="49"/>
      <c r="J157" s="50">
        <f t="shared" si="5"/>
        <v>0</v>
      </c>
      <c r="K157" s="49"/>
      <c r="L157" s="49"/>
      <c r="M157" s="49"/>
    </row>
    <row r="158" spans="2:13" ht="22.5" x14ac:dyDescent="0.25">
      <c r="B158" s="71"/>
      <c r="C158" s="55" t="s">
        <v>123</v>
      </c>
      <c r="D158" s="56">
        <v>1957008764</v>
      </c>
      <c r="E158" s="57" t="s">
        <v>231</v>
      </c>
      <c r="F158" s="58" t="s">
        <v>123</v>
      </c>
      <c r="G158" s="56">
        <v>1957008764</v>
      </c>
      <c r="H158" s="57" t="s">
        <v>231</v>
      </c>
      <c r="I158" s="49"/>
      <c r="J158" s="50">
        <f t="shared" si="5"/>
        <v>0</v>
      </c>
      <c r="K158" s="49"/>
      <c r="L158" s="49"/>
      <c r="M158" s="49"/>
    </row>
    <row r="159" spans="2:13" x14ac:dyDescent="0.25">
      <c r="B159" s="71"/>
      <c r="C159" s="55" t="s">
        <v>123</v>
      </c>
      <c r="D159" s="56">
        <v>7000000</v>
      </c>
      <c r="E159" s="57" t="s">
        <v>516</v>
      </c>
      <c r="F159" s="58" t="s">
        <v>123</v>
      </c>
      <c r="G159" s="56">
        <v>7000000</v>
      </c>
      <c r="H159" s="57" t="s">
        <v>516</v>
      </c>
      <c r="I159" s="49"/>
      <c r="J159" s="50">
        <f t="shared" si="5"/>
        <v>0</v>
      </c>
      <c r="K159" s="49"/>
      <c r="L159" s="49"/>
      <c r="M159" s="49"/>
    </row>
    <row r="160" spans="2:13" x14ac:dyDescent="0.25">
      <c r="B160" s="71"/>
      <c r="C160" s="55" t="s">
        <v>126</v>
      </c>
      <c r="D160" s="56">
        <v>7000000</v>
      </c>
      <c r="E160" s="57" t="s">
        <v>520</v>
      </c>
      <c r="F160" s="58" t="s">
        <v>126</v>
      </c>
      <c r="G160" s="56">
        <v>7000000</v>
      </c>
      <c r="H160" s="57" t="s">
        <v>520</v>
      </c>
      <c r="I160" s="49"/>
      <c r="J160" s="50">
        <f t="shared" si="5"/>
        <v>0</v>
      </c>
      <c r="K160" s="49"/>
      <c r="L160" s="49"/>
      <c r="M160" s="49"/>
    </row>
    <row r="161" spans="2:13" x14ac:dyDescent="0.25">
      <c r="B161" s="71"/>
      <c r="C161" s="55" t="s">
        <v>123</v>
      </c>
      <c r="D161" s="56">
        <v>1500000</v>
      </c>
      <c r="E161" s="57" t="s">
        <v>524</v>
      </c>
      <c r="F161" s="58" t="s">
        <v>123</v>
      </c>
      <c r="G161" s="56">
        <v>1500000</v>
      </c>
      <c r="H161" s="57" t="s">
        <v>524</v>
      </c>
      <c r="I161" s="49"/>
      <c r="J161" s="50">
        <f t="shared" si="5"/>
        <v>0</v>
      </c>
      <c r="K161" s="49"/>
      <c r="L161" s="49"/>
      <c r="M161" s="49"/>
    </row>
    <row r="162" spans="2:13" x14ac:dyDescent="0.25">
      <c r="B162" s="71"/>
      <c r="C162" s="55" t="s">
        <v>138</v>
      </c>
      <c r="D162" s="56">
        <v>16000000</v>
      </c>
      <c r="E162" s="57" t="s">
        <v>143</v>
      </c>
      <c r="F162" s="58" t="s">
        <v>138</v>
      </c>
      <c r="G162" s="56">
        <v>16000000</v>
      </c>
      <c r="H162" s="57" t="s">
        <v>143</v>
      </c>
      <c r="I162" s="49"/>
      <c r="J162" s="50">
        <f t="shared" si="5"/>
        <v>0</v>
      </c>
      <c r="K162" s="49"/>
      <c r="L162" s="49"/>
      <c r="M162" s="49"/>
    </row>
    <row r="163" spans="2:13" x14ac:dyDescent="0.25">
      <c r="B163" s="71"/>
      <c r="C163" s="55" t="s">
        <v>529</v>
      </c>
      <c r="D163" s="56">
        <v>4000000</v>
      </c>
      <c r="E163" s="57" t="s">
        <v>143</v>
      </c>
      <c r="F163" s="58" t="s">
        <v>1167</v>
      </c>
      <c r="G163" s="56">
        <v>4000000</v>
      </c>
      <c r="H163" s="57" t="s">
        <v>143</v>
      </c>
      <c r="I163" s="49"/>
      <c r="J163" s="50">
        <f t="shared" si="5"/>
        <v>0</v>
      </c>
      <c r="K163" s="49"/>
      <c r="L163" s="49"/>
      <c r="M163" s="49"/>
    </row>
    <row r="164" spans="2:13" x14ac:dyDescent="0.25">
      <c r="B164" s="71"/>
      <c r="C164" s="55" t="s">
        <v>123</v>
      </c>
      <c r="D164" s="56">
        <v>61500000</v>
      </c>
      <c r="E164" s="57" t="s">
        <v>534</v>
      </c>
      <c r="F164" s="58" t="s">
        <v>123</v>
      </c>
      <c r="G164" s="56">
        <f>250000000-(7000000+G333+3500000+7000000+126000000)</f>
        <v>61500000</v>
      </c>
      <c r="H164" s="57" t="s">
        <v>534</v>
      </c>
      <c r="I164" s="49"/>
      <c r="J164" s="50">
        <f t="shared" si="5"/>
        <v>0</v>
      </c>
      <c r="K164" s="49"/>
      <c r="L164" s="49"/>
      <c r="M164" s="49"/>
    </row>
    <row r="165" spans="2:13" x14ac:dyDescent="0.25">
      <c r="B165" s="71"/>
      <c r="C165" s="55" t="s">
        <v>111</v>
      </c>
      <c r="D165" s="56">
        <v>1800000</v>
      </c>
      <c r="E165" s="57" t="s">
        <v>538</v>
      </c>
      <c r="F165" s="58" t="s">
        <v>111</v>
      </c>
      <c r="G165" s="56">
        <v>1800000</v>
      </c>
      <c r="H165" s="57" t="s">
        <v>538</v>
      </c>
      <c r="I165" s="49"/>
      <c r="J165" s="50">
        <f t="shared" si="5"/>
        <v>0</v>
      </c>
      <c r="K165" s="49"/>
      <c r="L165" s="49"/>
      <c r="M165" s="49"/>
    </row>
    <row r="166" spans="2:13" x14ac:dyDescent="0.25">
      <c r="B166" s="71"/>
      <c r="C166" s="55" t="s">
        <v>123</v>
      </c>
      <c r="D166" s="56">
        <v>24200000</v>
      </c>
      <c r="E166" s="57" t="s">
        <v>542</v>
      </c>
      <c r="F166" s="58" t="s">
        <v>123</v>
      </c>
      <c r="G166" s="56">
        <v>24200000</v>
      </c>
      <c r="H166" s="57" t="s">
        <v>542</v>
      </c>
      <c r="I166" s="49"/>
      <c r="J166" s="50">
        <f t="shared" si="5"/>
        <v>0</v>
      </c>
      <c r="K166" s="49"/>
      <c r="L166" s="49"/>
      <c r="M166" s="49"/>
    </row>
    <row r="167" spans="2:13" x14ac:dyDescent="0.25">
      <c r="B167" s="71"/>
      <c r="C167" s="55" t="s">
        <v>123</v>
      </c>
      <c r="D167" s="56">
        <v>0</v>
      </c>
      <c r="E167" s="57" t="s">
        <v>545</v>
      </c>
      <c r="F167" s="58" t="s">
        <v>123</v>
      </c>
      <c r="G167" s="56">
        <v>0</v>
      </c>
      <c r="H167" s="57" t="s">
        <v>545</v>
      </c>
      <c r="I167" s="49"/>
      <c r="J167" s="50">
        <f t="shared" si="5"/>
        <v>0</v>
      </c>
      <c r="K167" s="49"/>
      <c r="L167" s="49"/>
      <c r="M167" s="49"/>
    </row>
    <row r="168" spans="2:13" x14ac:dyDescent="0.25">
      <c r="B168" s="71"/>
      <c r="C168" s="55" t="s">
        <v>123</v>
      </c>
      <c r="D168" s="56">
        <v>16000000</v>
      </c>
      <c r="E168" s="57" t="s">
        <v>548</v>
      </c>
      <c r="F168" s="58" t="s">
        <v>123</v>
      </c>
      <c r="G168" s="56">
        <v>16000000</v>
      </c>
      <c r="H168" s="57" t="s">
        <v>548</v>
      </c>
      <c r="I168" s="49"/>
      <c r="J168" s="50">
        <f t="shared" si="5"/>
        <v>0</v>
      </c>
      <c r="K168" s="49"/>
      <c r="L168" s="49"/>
      <c r="M168" s="49"/>
    </row>
    <row r="169" spans="2:13" x14ac:dyDescent="0.25">
      <c r="B169" s="71"/>
      <c r="C169" s="55" t="s">
        <v>123</v>
      </c>
      <c r="D169" s="56">
        <v>5000000</v>
      </c>
      <c r="E169" s="57" t="s">
        <v>551</v>
      </c>
      <c r="F169" s="58" t="s">
        <v>123</v>
      </c>
      <c r="G169" s="56">
        <v>5000000</v>
      </c>
      <c r="H169" s="57" t="s">
        <v>551</v>
      </c>
      <c r="I169" s="49"/>
      <c r="J169" s="50">
        <f t="shared" si="5"/>
        <v>0</v>
      </c>
      <c r="K169" s="49"/>
      <c r="L169" s="49"/>
      <c r="M169" s="49"/>
    </row>
    <row r="170" spans="2:13" x14ac:dyDescent="0.25">
      <c r="B170" s="71"/>
      <c r="C170" s="55" t="s">
        <v>123</v>
      </c>
      <c r="D170" s="56">
        <v>96074160</v>
      </c>
      <c r="E170" s="57" t="s">
        <v>556</v>
      </c>
      <c r="F170" s="58" t="s">
        <v>123</v>
      </c>
      <c r="G170" s="56">
        <v>96074160</v>
      </c>
      <c r="H170" s="57" t="s">
        <v>556</v>
      </c>
      <c r="I170" s="49"/>
      <c r="J170" s="50">
        <f t="shared" si="5"/>
        <v>0</v>
      </c>
      <c r="K170" s="49"/>
      <c r="L170" s="49"/>
      <c r="M170" s="49"/>
    </row>
    <row r="171" spans="2:13" x14ac:dyDescent="0.25">
      <c r="B171" s="71"/>
      <c r="C171" s="55" t="s">
        <v>111</v>
      </c>
      <c r="D171" s="56">
        <v>75369840</v>
      </c>
      <c r="E171" s="57" t="s">
        <v>559</v>
      </c>
      <c r="F171" s="58" t="s">
        <v>111</v>
      </c>
      <c r="G171" s="56">
        <v>75369840</v>
      </c>
      <c r="H171" s="57" t="s">
        <v>559</v>
      </c>
      <c r="I171" s="49"/>
      <c r="J171" s="50">
        <f t="shared" si="5"/>
        <v>0</v>
      </c>
      <c r="K171" s="49"/>
      <c r="L171" s="49"/>
      <c r="M171" s="49"/>
    </row>
    <row r="172" spans="2:13" s="47" customFormat="1" x14ac:dyDescent="0.25">
      <c r="B172" s="114"/>
      <c r="C172" s="66" t="s">
        <v>126</v>
      </c>
      <c r="D172" s="67">
        <v>2500000</v>
      </c>
      <c r="E172" s="68" t="s">
        <v>562</v>
      </c>
      <c r="F172" s="69" t="s">
        <v>126</v>
      </c>
      <c r="G172" s="67">
        <f>5000000-5000000</f>
        <v>0</v>
      </c>
      <c r="H172" s="68" t="s">
        <v>562</v>
      </c>
      <c r="I172" s="70"/>
      <c r="J172" s="82">
        <f t="shared" ref="J172:J203" si="6">G172-D172</f>
        <v>-2500000</v>
      </c>
      <c r="K172" s="70"/>
      <c r="L172" s="70" t="s">
        <v>294</v>
      </c>
      <c r="M172" s="70"/>
    </row>
    <row r="173" spans="2:13" s="47" customFormat="1" x14ac:dyDescent="0.25">
      <c r="B173" s="114"/>
      <c r="C173" s="66" t="s">
        <v>123</v>
      </c>
      <c r="D173" s="67">
        <f>2000000-2000000</f>
        <v>0</v>
      </c>
      <c r="E173" s="68" t="s">
        <v>562</v>
      </c>
      <c r="F173" s="69" t="s">
        <v>123</v>
      </c>
      <c r="G173" s="67">
        <v>2000000</v>
      </c>
      <c r="H173" s="68" t="s">
        <v>562</v>
      </c>
      <c r="I173" s="70"/>
      <c r="J173" s="82">
        <f t="shared" si="6"/>
        <v>2000000</v>
      </c>
      <c r="K173" s="70"/>
      <c r="L173" s="70"/>
      <c r="M173" s="70"/>
    </row>
    <row r="174" spans="2:13" x14ac:dyDescent="0.25">
      <c r="B174" s="71"/>
      <c r="C174" s="55" t="s">
        <v>382</v>
      </c>
      <c r="D174" s="56">
        <f>13000000+12000000</f>
        <v>25000000</v>
      </c>
      <c r="E174" s="57" t="s">
        <v>372</v>
      </c>
      <c r="F174" s="58" t="s">
        <v>382</v>
      </c>
      <c r="G174" s="56">
        <f>13000000+12000000</f>
        <v>25000000</v>
      </c>
      <c r="H174" s="57" t="s">
        <v>372</v>
      </c>
      <c r="I174" s="49"/>
      <c r="J174" s="50">
        <f t="shared" si="6"/>
        <v>0</v>
      </c>
      <c r="K174" s="49"/>
      <c r="L174" s="49"/>
      <c r="M174" s="49"/>
    </row>
    <row r="175" spans="2:13" x14ac:dyDescent="0.25">
      <c r="B175" s="71"/>
      <c r="C175" s="55" t="s">
        <v>123</v>
      </c>
      <c r="D175" s="56">
        <v>163800000</v>
      </c>
      <c r="E175" s="57" t="s">
        <v>568</v>
      </c>
      <c r="F175" s="58" t="s">
        <v>123</v>
      </c>
      <c r="G175" s="56">
        <v>163800000</v>
      </c>
      <c r="H175" s="57" t="s">
        <v>568</v>
      </c>
      <c r="I175" s="49"/>
      <c r="J175" s="50">
        <f t="shared" si="6"/>
        <v>0</v>
      </c>
      <c r="K175" s="49"/>
      <c r="L175" s="49"/>
      <c r="M175" s="49"/>
    </row>
    <row r="176" spans="2:13" x14ac:dyDescent="0.25">
      <c r="B176" s="71"/>
      <c r="C176" s="55" t="s">
        <v>123</v>
      </c>
      <c r="D176" s="56">
        <v>14742000</v>
      </c>
      <c r="E176" s="57" t="s">
        <v>572</v>
      </c>
      <c r="F176" s="58" t="s">
        <v>123</v>
      </c>
      <c r="G176" s="56">
        <v>14742000</v>
      </c>
      <c r="H176" s="57" t="s">
        <v>572</v>
      </c>
      <c r="I176" s="49"/>
      <c r="J176" s="50">
        <f t="shared" si="6"/>
        <v>0</v>
      </c>
      <c r="K176" s="49"/>
      <c r="L176" s="49"/>
      <c r="M176" s="49"/>
    </row>
    <row r="177" spans="2:13" x14ac:dyDescent="0.25">
      <c r="B177" s="71"/>
      <c r="C177" s="55" t="s">
        <v>123</v>
      </c>
      <c r="D177" s="56">
        <v>34856495</v>
      </c>
      <c r="E177" s="57" t="s">
        <v>576</v>
      </c>
      <c r="F177" s="58" t="s">
        <v>123</v>
      </c>
      <c r="G177" s="56">
        <v>34856495</v>
      </c>
      <c r="H177" s="57" t="s">
        <v>576</v>
      </c>
      <c r="I177" s="49"/>
      <c r="J177" s="50">
        <f t="shared" si="6"/>
        <v>0</v>
      </c>
      <c r="K177" s="49"/>
      <c r="L177" s="49"/>
      <c r="M177" s="49"/>
    </row>
    <row r="178" spans="2:13" x14ac:dyDescent="0.25">
      <c r="B178" s="71"/>
      <c r="C178" s="55" t="s">
        <v>123</v>
      </c>
      <c r="D178" s="56">
        <f>75329556- 3851760</f>
        <v>71477796</v>
      </c>
      <c r="E178" s="57" t="s">
        <v>580</v>
      </c>
      <c r="F178" s="58" t="s">
        <v>123</v>
      </c>
      <c r="G178" s="56">
        <f>75329556- 3851760</f>
        <v>71477796</v>
      </c>
      <c r="H178" s="57" t="s">
        <v>580</v>
      </c>
      <c r="I178" s="49"/>
      <c r="J178" s="50">
        <f t="shared" si="6"/>
        <v>0</v>
      </c>
      <c r="K178" s="49"/>
      <c r="L178" s="49"/>
      <c r="M178" s="49"/>
    </row>
    <row r="179" spans="2:13" x14ac:dyDescent="0.25">
      <c r="B179" s="71"/>
      <c r="C179" s="55" t="s">
        <v>582</v>
      </c>
      <c r="D179" s="56">
        <f>3851760</f>
        <v>3851760</v>
      </c>
      <c r="E179" s="57" t="s">
        <v>580</v>
      </c>
      <c r="F179" s="58" t="s">
        <v>582</v>
      </c>
      <c r="G179" s="56">
        <f>3851760</f>
        <v>3851760</v>
      </c>
      <c r="H179" s="57" t="s">
        <v>580</v>
      </c>
      <c r="I179" s="49"/>
      <c r="J179" s="50">
        <f t="shared" si="6"/>
        <v>0</v>
      </c>
      <c r="K179" s="49"/>
      <c r="L179" s="49"/>
      <c r="M179" s="49"/>
    </row>
    <row r="180" spans="2:13" x14ac:dyDescent="0.25">
      <c r="B180" s="71"/>
      <c r="C180" s="55" t="s">
        <v>123</v>
      </c>
      <c r="D180" s="56">
        <v>10920000</v>
      </c>
      <c r="E180" s="57" t="s">
        <v>585</v>
      </c>
      <c r="F180" s="58" t="s">
        <v>123</v>
      </c>
      <c r="G180" s="56">
        <v>10920000</v>
      </c>
      <c r="H180" s="57" t="s">
        <v>585</v>
      </c>
      <c r="I180" s="49"/>
      <c r="J180" s="50">
        <f t="shared" si="6"/>
        <v>0</v>
      </c>
      <c r="K180" s="49"/>
      <c r="L180" s="49"/>
      <c r="M180" s="49"/>
    </row>
    <row r="181" spans="2:13" x14ac:dyDescent="0.25">
      <c r="B181" s="71"/>
      <c r="C181" s="55" t="s">
        <v>123</v>
      </c>
      <c r="D181" s="56">
        <v>98841132</v>
      </c>
      <c r="E181" s="57" t="s">
        <v>588</v>
      </c>
      <c r="F181" s="58" t="s">
        <v>123</v>
      </c>
      <c r="G181" s="56">
        <v>98841132.25</v>
      </c>
      <c r="H181" s="57" t="s">
        <v>588</v>
      </c>
      <c r="I181" s="49"/>
      <c r="J181" s="50">
        <f t="shared" si="6"/>
        <v>0.25</v>
      </c>
      <c r="K181" s="49"/>
      <c r="L181" s="49"/>
      <c r="M181" s="49"/>
    </row>
    <row r="182" spans="2:13" x14ac:dyDescent="0.25">
      <c r="B182" s="71"/>
      <c r="C182" s="55" t="s">
        <v>123</v>
      </c>
      <c r="D182" s="56">
        <v>25882500</v>
      </c>
      <c r="E182" s="57" t="s">
        <v>591</v>
      </c>
      <c r="F182" s="58" t="s">
        <v>123</v>
      </c>
      <c r="G182" s="56">
        <v>25882500</v>
      </c>
      <c r="H182" s="57" t="s">
        <v>591</v>
      </c>
      <c r="I182" s="49"/>
      <c r="J182" s="50">
        <f t="shared" si="6"/>
        <v>0</v>
      </c>
      <c r="K182" s="49"/>
      <c r="L182" s="49"/>
      <c r="M182" s="49"/>
    </row>
    <row r="183" spans="2:13" x14ac:dyDescent="0.25">
      <c r="B183" s="71"/>
      <c r="C183" s="55" t="s">
        <v>123</v>
      </c>
      <c r="D183" s="56">
        <v>19635000</v>
      </c>
      <c r="E183" s="57" t="s">
        <v>594</v>
      </c>
      <c r="F183" s="58" t="s">
        <v>123</v>
      </c>
      <c r="G183" s="56">
        <v>19635000</v>
      </c>
      <c r="H183" s="57" t="s">
        <v>594</v>
      </c>
      <c r="I183" s="49"/>
      <c r="J183" s="50">
        <f t="shared" si="6"/>
        <v>0</v>
      </c>
      <c r="K183" s="49"/>
      <c r="L183" s="49"/>
      <c r="M183" s="49"/>
    </row>
    <row r="184" spans="2:13" x14ac:dyDescent="0.25">
      <c r="B184" s="71"/>
      <c r="C184" s="55" t="s">
        <v>123</v>
      </c>
      <c r="D184" s="56">
        <v>23434320</v>
      </c>
      <c r="E184" s="57" t="s">
        <v>597</v>
      </c>
      <c r="F184" s="58" t="s">
        <v>123</v>
      </c>
      <c r="G184" s="56">
        <v>23434320</v>
      </c>
      <c r="H184" s="57" t="s">
        <v>597</v>
      </c>
      <c r="I184" s="49"/>
      <c r="J184" s="50">
        <f t="shared" si="6"/>
        <v>0</v>
      </c>
      <c r="K184" s="49"/>
      <c r="L184" s="49"/>
      <c r="M184" s="49"/>
    </row>
    <row r="185" spans="2:13" x14ac:dyDescent="0.25">
      <c r="B185" s="71"/>
      <c r="C185" s="55" t="s">
        <v>123</v>
      </c>
      <c r="D185" s="56">
        <v>0</v>
      </c>
      <c r="E185" s="57" t="s">
        <v>600</v>
      </c>
      <c r="F185" s="58" t="s">
        <v>123</v>
      </c>
      <c r="G185" s="56">
        <v>0</v>
      </c>
      <c r="H185" s="57" t="s">
        <v>600</v>
      </c>
      <c r="I185" s="49"/>
      <c r="J185" s="50">
        <f t="shared" si="6"/>
        <v>0</v>
      </c>
      <c r="K185" s="49"/>
      <c r="L185" s="49"/>
      <c r="M185" s="49"/>
    </row>
    <row r="186" spans="2:13" s="79" customFormat="1" ht="22.5" x14ac:dyDescent="0.25">
      <c r="B186" s="83" t="s">
        <v>1168</v>
      </c>
      <c r="C186" s="74" t="s">
        <v>126</v>
      </c>
      <c r="D186" s="75">
        <v>50000000</v>
      </c>
      <c r="E186" s="76" t="s">
        <v>604</v>
      </c>
      <c r="F186" s="77" t="s">
        <v>126</v>
      </c>
      <c r="G186" s="75">
        <f>60000000+5000000-(10000000)</f>
        <v>55000000</v>
      </c>
      <c r="H186" s="76" t="s">
        <v>604</v>
      </c>
      <c r="I186" s="73"/>
      <c r="J186" s="78">
        <f t="shared" si="6"/>
        <v>5000000</v>
      </c>
      <c r="K186" s="73"/>
      <c r="L186" s="73"/>
      <c r="M186" s="73"/>
    </row>
    <row r="187" spans="2:13" x14ac:dyDescent="0.25">
      <c r="B187" s="71"/>
      <c r="C187" s="55" t="s">
        <v>117</v>
      </c>
      <c r="D187" s="56">
        <v>4237500</v>
      </c>
      <c r="E187" s="57" t="s">
        <v>609</v>
      </c>
      <c r="F187" s="58" t="s">
        <v>117</v>
      </c>
      <c r="G187" s="56">
        <v>4237500</v>
      </c>
      <c r="H187" s="57" t="s">
        <v>609</v>
      </c>
      <c r="I187" s="49"/>
      <c r="J187" s="50">
        <f t="shared" si="6"/>
        <v>0</v>
      </c>
      <c r="K187" s="49"/>
      <c r="L187" s="49"/>
      <c r="M187" s="49"/>
    </row>
    <row r="188" spans="2:13" x14ac:dyDescent="0.25">
      <c r="B188" s="71"/>
      <c r="C188" s="55" t="s">
        <v>123</v>
      </c>
      <c r="D188" s="56">
        <v>2184000</v>
      </c>
      <c r="E188" s="57" t="s">
        <v>613</v>
      </c>
      <c r="F188" s="58" t="s">
        <v>123</v>
      </c>
      <c r="G188" s="56">
        <v>2184000</v>
      </c>
      <c r="H188" s="57" t="s">
        <v>613</v>
      </c>
      <c r="I188" s="49"/>
      <c r="J188" s="50">
        <f t="shared" si="6"/>
        <v>0</v>
      </c>
      <c r="K188" s="49"/>
      <c r="L188" s="49"/>
      <c r="M188" s="49"/>
    </row>
    <row r="189" spans="2:13" x14ac:dyDescent="0.25">
      <c r="B189" s="71"/>
      <c r="C189" s="55" t="s">
        <v>126</v>
      </c>
      <c r="D189" s="56">
        <v>5000000</v>
      </c>
      <c r="E189" s="57" t="s">
        <v>618</v>
      </c>
      <c r="F189" s="58" t="s">
        <v>126</v>
      </c>
      <c r="G189" s="56">
        <v>5000000</v>
      </c>
      <c r="H189" s="57" t="s">
        <v>618</v>
      </c>
      <c r="I189" s="49"/>
      <c r="J189" s="50">
        <f t="shared" si="6"/>
        <v>0</v>
      </c>
      <c r="K189" s="49"/>
      <c r="L189" s="49"/>
      <c r="M189" s="49"/>
    </row>
    <row r="190" spans="2:13" x14ac:dyDescent="0.25">
      <c r="B190" s="71"/>
      <c r="C190" s="55" t="s">
        <v>123</v>
      </c>
      <c r="D190" s="56">
        <v>40000000</v>
      </c>
      <c r="E190" s="57" t="s">
        <v>621</v>
      </c>
      <c r="F190" s="58" t="s">
        <v>123</v>
      </c>
      <c r="G190" s="56">
        <v>40000000</v>
      </c>
      <c r="H190" s="57" t="s">
        <v>621</v>
      </c>
      <c r="I190" s="49"/>
      <c r="J190" s="50">
        <f t="shared" si="6"/>
        <v>0</v>
      </c>
      <c r="K190" s="49"/>
      <c r="L190" s="49"/>
      <c r="M190" s="49"/>
    </row>
    <row r="191" spans="2:13" x14ac:dyDescent="0.25">
      <c r="B191" s="71"/>
      <c r="C191" s="55" t="s">
        <v>123</v>
      </c>
      <c r="D191" s="56">
        <v>10000000</v>
      </c>
      <c r="E191" s="57" t="s">
        <v>624</v>
      </c>
      <c r="F191" s="58" t="s">
        <v>123</v>
      </c>
      <c r="G191" s="56">
        <v>10000000</v>
      </c>
      <c r="H191" s="57" t="s">
        <v>624</v>
      </c>
      <c r="I191" s="49"/>
      <c r="J191" s="50">
        <f t="shared" si="6"/>
        <v>0</v>
      </c>
      <c r="K191" s="49"/>
      <c r="L191" s="49"/>
      <c r="M191" s="49"/>
    </row>
    <row r="192" spans="2:13" x14ac:dyDescent="0.25">
      <c r="B192" s="71"/>
      <c r="C192" s="55" t="s">
        <v>123</v>
      </c>
      <c r="D192" s="56">
        <v>50000000</v>
      </c>
      <c r="E192" s="57" t="s">
        <v>627</v>
      </c>
      <c r="F192" s="58" t="s">
        <v>123</v>
      </c>
      <c r="G192" s="56">
        <v>50000000</v>
      </c>
      <c r="H192" s="57" t="s">
        <v>627</v>
      </c>
      <c r="I192" s="49"/>
      <c r="J192" s="50">
        <f t="shared" si="6"/>
        <v>0</v>
      </c>
      <c r="K192" s="49"/>
      <c r="L192" s="49"/>
      <c r="M192" s="49"/>
    </row>
    <row r="193" spans="2:13" x14ac:dyDescent="0.25">
      <c r="B193" s="71"/>
      <c r="C193" s="55" t="s">
        <v>111</v>
      </c>
      <c r="D193" s="56">
        <f>21000000-10790270</f>
        <v>10209730</v>
      </c>
      <c r="E193" s="57" t="s">
        <v>630</v>
      </c>
      <c r="F193" s="58" t="s">
        <v>111</v>
      </c>
      <c r="G193" s="56">
        <f>21000000-10790270</f>
        <v>10209730</v>
      </c>
      <c r="H193" s="57" t="s">
        <v>630</v>
      </c>
      <c r="I193" s="49"/>
      <c r="J193" s="50">
        <f t="shared" si="6"/>
        <v>0</v>
      </c>
      <c r="K193" s="49"/>
      <c r="L193" s="49"/>
      <c r="M193" s="49"/>
    </row>
    <row r="194" spans="2:13" x14ac:dyDescent="0.25">
      <c r="B194" s="71"/>
      <c r="C194" s="55" t="s">
        <v>114</v>
      </c>
      <c r="D194" s="56">
        <v>4000000</v>
      </c>
      <c r="E194" s="57" t="s">
        <v>630</v>
      </c>
      <c r="F194" s="58" t="s">
        <v>114</v>
      </c>
      <c r="G194" s="56">
        <v>4000000</v>
      </c>
      <c r="H194" s="57" t="s">
        <v>630</v>
      </c>
      <c r="I194" s="49"/>
      <c r="J194" s="50">
        <f t="shared" si="6"/>
        <v>0</v>
      </c>
      <c r="K194" s="49"/>
      <c r="L194" s="49"/>
      <c r="M194" s="49"/>
    </row>
    <row r="195" spans="2:13" x14ac:dyDescent="0.25">
      <c r="B195" s="71"/>
      <c r="C195" s="55" t="s">
        <v>114</v>
      </c>
      <c r="D195" s="56">
        <f>11135000-(6319200+4815800)</f>
        <v>0</v>
      </c>
      <c r="E195" s="57" t="s">
        <v>636</v>
      </c>
      <c r="F195" s="58" t="s">
        <v>114</v>
      </c>
      <c r="G195" s="56">
        <f>11135000-(6319200+4815800)</f>
        <v>0</v>
      </c>
      <c r="H195" s="57" t="s">
        <v>636</v>
      </c>
      <c r="I195" s="49"/>
      <c r="J195" s="50">
        <f t="shared" si="6"/>
        <v>0</v>
      </c>
      <c r="K195" s="49"/>
      <c r="L195" s="49"/>
      <c r="M195" s="49"/>
    </row>
    <row r="196" spans="2:13" x14ac:dyDescent="0.25">
      <c r="B196" s="71"/>
      <c r="C196" s="55" t="s">
        <v>68</v>
      </c>
      <c r="D196" s="56">
        <v>2500000</v>
      </c>
      <c r="E196" s="57" t="s">
        <v>639</v>
      </c>
      <c r="F196" s="58" t="s">
        <v>68</v>
      </c>
      <c r="G196" s="56">
        <v>2500000</v>
      </c>
      <c r="H196" s="57" t="s">
        <v>639</v>
      </c>
      <c r="I196" s="49"/>
      <c r="J196" s="50">
        <f t="shared" si="6"/>
        <v>0</v>
      </c>
      <c r="K196" s="49"/>
      <c r="L196" s="49"/>
      <c r="M196" s="49"/>
    </row>
    <row r="197" spans="2:13" x14ac:dyDescent="0.25">
      <c r="B197" s="71"/>
      <c r="C197" s="55" t="s">
        <v>111</v>
      </c>
      <c r="D197" s="56">
        <v>13651033</v>
      </c>
      <c r="E197" s="57" t="s">
        <v>642</v>
      </c>
      <c r="F197" s="58" t="s">
        <v>111</v>
      </c>
      <c r="G197" s="56">
        <v>13651033</v>
      </c>
      <c r="H197" s="57" t="s">
        <v>642</v>
      </c>
      <c r="I197" s="49"/>
      <c r="J197" s="50">
        <f t="shared" si="6"/>
        <v>0</v>
      </c>
      <c r="K197" s="49"/>
      <c r="L197" s="49"/>
      <c r="M197" s="49"/>
    </row>
    <row r="198" spans="2:13" x14ac:dyDescent="0.25">
      <c r="B198" s="71"/>
      <c r="C198" s="55" t="s">
        <v>114</v>
      </c>
      <c r="D198" s="56">
        <f>8500305+56617</f>
        <v>8556922</v>
      </c>
      <c r="E198" s="57" t="s">
        <v>642</v>
      </c>
      <c r="F198" s="58" t="s">
        <v>114</v>
      </c>
      <c r="G198" s="56">
        <f>8500305+56617</f>
        <v>8556922</v>
      </c>
      <c r="H198" s="57" t="s">
        <v>642</v>
      </c>
      <c r="I198" s="49"/>
      <c r="J198" s="50">
        <f t="shared" si="6"/>
        <v>0</v>
      </c>
      <c r="K198" s="49"/>
      <c r="L198" s="49"/>
      <c r="M198" s="49"/>
    </row>
    <row r="199" spans="2:13" x14ac:dyDescent="0.25">
      <c r="B199" s="71"/>
      <c r="C199" s="55" t="s">
        <v>111</v>
      </c>
      <c r="D199" s="56">
        <v>15705594</v>
      </c>
      <c r="E199" s="57" t="s">
        <v>647</v>
      </c>
      <c r="F199" s="58" t="s">
        <v>111</v>
      </c>
      <c r="G199" s="56">
        <v>15705594</v>
      </c>
      <c r="H199" s="57" t="s">
        <v>647</v>
      </c>
      <c r="I199" s="49"/>
      <c r="J199" s="50">
        <f t="shared" si="6"/>
        <v>0</v>
      </c>
      <c r="K199" s="49"/>
      <c r="L199" s="49"/>
      <c r="M199" s="49"/>
    </row>
    <row r="200" spans="2:13" x14ac:dyDescent="0.25">
      <c r="B200" s="71"/>
      <c r="C200" s="55" t="s">
        <v>114</v>
      </c>
      <c r="D200" s="56">
        <v>1721811</v>
      </c>
      <c r="E200" s="57" t="s">
        <v>647</v>
      </c>
      <c r="F200" s="58" t="s">
        <v>114</v>
      </c>
      <c r="G200" s="56">
        <v>1721811</v>
      </c>
      <c r="H200" s="57" t="s">
        <v>647</v>
      </c>
      <c r="I200" s="49"/>
      <c r="J200" s="50">
        <f t="shared" si="6"/>
        <v>0</v>
      </c>
      <c r="K200" s="49"/>
      <c r="L200" s="49"/>
      <c r="M200" s="49"/>
    </row>
    <row r="201" spans="2:13" x14ac:dyDescent="0.25">
      <c r="B201" s="71"/>
      <c r="C201" s="55" t="s">
        <v>128</v>
      </c>
      <c r="D201" s="56">
        <v>1138475</v>
      </c>
      <c r="E201" s="57" t="s">
        <v>647</v>
      </c>
      <c r="F201" s="58" t="s">
        <v>128</v>
      </c>
      <c r="G201" s="56">
        <v>1138475</v>
      </c>
      <c r="H201" s="57" t="s">
        <v>647</v>
      </c>
      <c r="I201" s="49"/>
      <c r="J201" s="50">
        <f t="shared" si="6"/>
        <v>0</v>
      </c>
      <c r="K201" s="49"/>
      <c r="L201" s="49"/>
      <c r="M201" s="49"/>
    </row>
    <row r="202" spans="2:13" x14ac:dyDescent="0.25">
      <c r="B202" s="71"/>
      <c r="C202" s="55" t="s">
        <v>128</v>
      </c>
      <c r="D202" s="56">
        <v>0</v>
      </c>
      <c r="E202" s="57" t="s">
        <v>652</v>
      </c>
      <c r="F202" s="58" t="s">
        <v>128</v>
      </c>
      <c r="G202" s="56">
        <v>0</v>
      </c>
      <c r="H202" s="57" t="s">
        <v>652</v>
      </c>
      <c r="I202" s="49"/>
      <c r="J202" s="50">
        <f t="shared" si="6"/>
        <v>0</v>
      </c>
      <c r="K202" s="49"/>
      <c r="L202" s="49"/>
      <c r="M202" s="49"/>
    </row>
    <row r="203" spans="2:13" x14ac:dyDescent="0.25">
      <c r="B203" s="71"/>
      <c r="C203" s="55" t="s">
        <v>111</v>
      </c>
      <c r="D203" s="56">
        <f>20000000-(7000000+7000000+1863540+1130500)</f>
        <v>3005960</v>
      </c>
      <c r="E203" s="57" t="s">
        <v>654</v>
      </c>
      <c r="F203" s="58" t="s">
        <v>111</v>
      </c>
      <c r="G203" s="56">
        <f>20000000-(7000000+7000000+1863540+1130500)</f>
        <v>3005960</v>
      </c>
      <c r="H203" s="57" t="s">
        <v>654</v>
      </c>
      <c r="I203" s="49"/>
      <c r="J203" s="50">
        <f t="shared" si="6"/>
        <v>0</v>
      </c>
      <c r="K203" s="49"/>
      <c r="L203" s="49"/>
      <c r="M203" s="49"/>
    </row>
    <row r="204" spans="2:13" x14ac:dyDescent="0.25">
      <c r="B204" s="71"/>
      <c r="C204" s="55" t="s">
        <v>128</v>
      </c>
      <c r="D204" s="56">
        <f>1188839-588839-600000</f>
        <v>0</v>
      </c>
      <c r="E204" s="57" t="s">
        <v>654</v>
      </c>
      <c r="F204" s="58" t="s">
        <v>128</v>
      </c>
      <c r="G204" s="56">
        <f>1188839-588839-600000</f>
        <v>0</v>
      </c>
      <c r="H204" s="57" t="s">
        <v>654</v>
      </c>
      <c r="I204" s="49"/>
      <c r="J204" s="50">
        <f t="shared" ref="J204:J223" si="7">G204-D204</f>
        <v>0</v>
      </c>
      <c r="K204" s="49"/>
      <c r="L204" s="49"/>
      <c r="M204" s="49"/>
    </row>
    <row r="205" spans="2:13" x14ac:dyDescent="0.25">
      <c r="B205" s="71"/>
      <c r="C205" s="55" t="s">
        <v>114</v>
      </c>
      <c r="D205" s="56">
        <f>20000001-(8000000+8000000+2000390)</f>
        <v>1999611</v>
      </c>
      <c r="E205" s="57" t="s">
        <v>654</v>
      </c>
      <c r="F205" s="58" t="s">
        <v>114</v>
      </c>
      <c r="G205" s="56">
        <f>20000001-(8000000+8000000+2000390)</f>
        <v>1999611</v>
      </c>
      <c r="H205" s="57" t="s">
        <v>654</v>
      </c>
      <c r="I205" s="49"/>
      <c r="J205" s="50">
        <f t="shared" si="7"/>
        <v>0</v>
      </c>
      <c r="K205" s="49"/>
      <c r="L205" s="49"/>
      <c r="M205" s="49"/>
    </row>
    <row r="206" spans="2:13" x14ac:dyDescent="0.25">
      <c r="B206" s="71"/>
      <c r="C206" s="55" t="s">
        <v>123</v>
      </c>
      <c r="D206" s="56">
        <f>66697150-(2002770+13982500+39209786)</f>
        <v>11502094</v>
      </c>
      <c r="E206" s="57" t="s">
        <v>660</v>
      </c>
      <c r="F206" s="58" t="s">
        <v>123</v>
      </c>
      <c r="G206" s="56">
        <f>66697150-(2002770+13982500+39209786)</f>
        <v>11502094</v>
      </c>
      <c r="H206" s="57" t="s">
        <v>660</v>
      </c>
      <c r="I206" s="49"/>
      <c r="J206" s="50">
        <f t="shared" si="7"/>
        <v>0</v>
      </c>
      <c r="K206" s="49"/>
      <c r="L206" s="49"/>
      <c r="M206" s="49"/>
    </row>
    <row r="207" spans="2:13" x14ac:dyDescent="0.25">
      <c r="B207" s="71"/>
      <c r="C207" s="55" t="s">
        <v>664</v>
      </c>
      <c r="D207" s="56">
        <f>16336230+1850778</f>
        <v>18187008</v>
      </c>
      <c r="E207" s="57" t="s">
        <v>667</v>
      </c>
      <c r="F207" s="58" t="s">
        <v>664</v>
      </c>
      <c r="G207" s="56">
        <f>16336230+1850778</f>
        <v>18187008</v>
      </c>
      <c r="H207" s="57" t="s">
        <v>667</v>
      </c>
      <c r="I207" s="49"/>
      <c r="J207" s="50">
        <f t="shared" si="7"/>
        <v>0</v>
      </c>
      <c r="K207" s="49"/>
      <c r="L207" s="49"/>
      <c r="M207" s="49"/>
    </row>
    <row r="208" spans="2:13" x14ac:dyDescent="0.25">
      <c r="B208" s="71"/>
      <c r="C208" s="55" t="s">
        <v>111</v>
      </c>
      <c r="D208" s="56">
        <v>63355600</v>
      </c>
      <c r="E208" s="57" t="s">
        <v>672</v>
      </c>
      <c r="F208" s="58" t="s">
        <v>111</v>
      </c>
      <c r="G208" s="56">
        <v>63355600</v>
      </c>
      <c r="H208" s="57" t="s">
        <v>672</v>
      </c>
      <c r="I208" s="49"/>
      <c r="J208" s="50">
        <f t="shared" si="7"/>
        <v>0</v>
      </c>
      <c r="K208" s="49"/>
      <c r="L208" s="49"/>
      <c r="M208" s="49"/>
    </row>
    <row r="209" spans="2:13" s="79" customFormat="1" x14ac:dyDescent="0.25">
      <c r="B209" s="83" t="s">
        <v>1204</v>
      </c>
      <c r="C209" s="74" t="s">
        <v>108</v>
      </c>
      <c r="D209" s="75">
        <v>14149222</v>
      </c>
      <c r="E209" s="76" t="s">
        <v>675</v>
      </c>
      <c r="F209" s="77" t="s">
        <v>1169</v>
      </c>
      <c r="G209" s="75">
        <v>174949222</v>
      </c>
      <c r="H209" s="76" t="s">
        <v>675</v>
      </c>
      <c r="I209" s="73" t="s">
        <v>1155</v>
      </c>
      <c r="J209" s="78">
        <f t="shared" si="7"/>
        <v>160800000</v>
      </c>
      <c r="K209" s="73"/>
      <c r="L209" s="73"/>
      <c r="M209" s="73"/>
    </row>
    <row r="210" spans="2:13" s="79" customFormat="1" x14ac:dyDescent="0.25">
      <c r="B210" s="83"/>
      <c r="C210" s="74" t="s">
        <v>160</v>
      </c>
      <c r="D210" s="75">
        <v>800000</v>
      </c>
      <c r="E210" s="76" t="s">
        <v>675</v>
      </c>
      <c r="F210" s="77" t="s">
        <v>160</v>
      </c>
      <c r="G210" s="75">
        <v>800000</v>
      </c>
      <c r="H210" s="76" t="s">
        <v>675</v>
      </c>
      <c r="I210" s="73"/>
      <c r="J210" s="78">
        <f t="shared" si="7"/>
        <v>0</v>
      </c>
      <c r="K210" s="73"/>
      <c r="L210" s="73"/>
      <c r="M210" s="73"/>
    </row>
    <row r="211" spans="2:13" s="79" customFormat="1" x14ac:dyDescent="0.25">
      <c r="B211" s="83"/>
      <c r="C211" s="74" t="s">
        <v>128</v>
      </c>
      <c r="D211" s="75">
        <f>160000000-(9332925+23710750)</f>
        <v>126956325</v>
      </c>
      <c r="E211" s="76" t="s">
        <v>675</v>
      </c>
      <c r="F211" s="77" t="s">
        <v>128</v>
      </c>
      <c r="G211" s="75">
        <f>160000000-(9332925+23710750)</f>
        <v>126956325</v>
      </c>
      <c r="H211" s="76" t="s">
        <v>675</v>
      </c>
      <c r="I211" s="73"/>
      <c r="J211" s="78">
        <f t="shared" si="7"/>
        <v>0</v>
      </c>
      <c r="K211" s="73"/>
      <c r="L211" s="73"/>
      <c r="M211" s="73"/>
    </row>
    <row r="212" spans="2:13" x14ac:dyDescent="0.25">
      <c r="B212" s="71"/>
      <c r="C212" s="55" t="s">
        <v>114</v>
      </c>
      <c r="D212" s="56">
        <v>5681950</v>
      </c>
      <c r="E212" s="57" t="s">
        <v>681</v>
      </c>
      <c r="F212" s="58" t="s">
        <v>114</v>
      </c>
      <c r="G212" s="56">
        <v>5681950</v>
      </c>
      <c r="H212" s="57" t="s">
        <v>681</v>
      </c>
      <c r="I212" s="49"/>
      <c r="J212" s="50">
        <f t="shared" si="7"/>
        <v>0</v>
      </c>
      <c r="K212" s="49"/>
      <c r="L212" s="49"/>
      <c r="M212" s="49"/>
    </row>
    <row r="213" spans="2:13" x14ac:dyDescent="0.25">
      <c r="B213" s="71"/>
      <c r="C213" s="55" t="s">
        <v>111</v>
      </c>
      <c r="D213" s="56">
        <v>56512200</v>
      </c>
      <c r="E213" s="57" t="s">
        <v>681</v>
      </c>
      <c r="F213" s="58" t="s">
        <v>111</v>
      </c>
      <c r="G213" s="56">
        <v>56512200</v>
      </c>
      <c r="H213" s="57" t="s">
        <v>681</v>
      </c>
      <c r="I213" s="49"/>
      <c r="J213" s="50">
        <f t="shared" si="7"/>
        <v>0</v>
      </c>
      <c r="K213" s="49"/>
      <c r="L213" s="49"/>
      <c r="M213" s="49"/>
    </row>
    <row r="214" spans="2:13" x14ac:dyDescent="0.25">
      <c r="B214" s="71"/>
      <c r="C214" s="55" t="s">
        <v>117</v>
      </c>
      <c r="D214" s="56">
        <v>41692560</v>
      </c>
      <c r="E214" s="57" t="s">
        <v>686</v>
      </c>
      <c r="F214" s="58" t="s">
        <v>117</v>
      </c>
      <c r="G214" s="56">
        <v>41692560</v>
      </c>
      <c r="H214" s="57" t="s">
        <v>686</v>
      </c>
      <c r="I214" s="49"/>
      <c r="J214" s="50">
        <f t="shared" si="7"/>
        <v>0</v>
      </c>
      <c r="K214" s="49"/>
      <c r="L214" s="49"/>
      <c r="M214" s="49"/>
    </row>
    <row r="215" spans="2:13" x14ac:dyDescent="0.25">
      <c r="B215" s="71"/>
      <c r="C215" s="55" t="s">
        <v>126</v>
      </c>
      <c r="D215" s="56">
        <v>37903320</v>
      </c>
      <c r="E215" s="57" t="s">
        <v>690</v>
      </c>
      <c r="F215" s="58" t="s">
        <v>126</v>
      </c>
      <c r="G215" s="56">
        <v>37903320</v>
      </c>
      <c r="H215" s="57" t="s">
        <v>690</v>
      </c>
      <c r="I215" s="49"/>
      <c r="J215" s="50">
        <f t="shared" si="7"/>
        <v>0</v>
      </c>
      <c r="K215" s="49"/>
      <c r="L215" s="49"/>
      <c r="M215" s="49"/>
    </row>
    <row r="216" spans="2:13" x14ac:dyDescent="0.25">
      <c r="B216" s="71"/>
      <c r="C216" s="55" t="s">
        <v>123</v>
      </c>
      <c r="D216" s="56">
        <v>47797540</v>
      </c>
      <c r="E216" s="57" t="s">
        <v>693</v>
      </c>
      <c r="F216" s="58" t="s">
        <v>123</v>
      </c>
      <c r="G216" s="56">
        <v>47797540</v>
      </c>
      <c r="H216" s="57" t="s">
        <v>693</v>
      </c>
      <c r="I216" s="49"/>
      <c r="J216" s="50">
        <f t="shared" si="7"/>
        <v>0</v>
      </c>
      <c r="K216" s="49"/>
      <c r="L216" s="49"/>
      <c r="M216" s="49"/>
    </row>
    <row r="217" spans="2:13" x14ac:dyDescent="0.25">
      <c r="B217" s="71"/>
      <c r="C217" s="55" t="s">
        <v>108</v>
      </c>
      <c r="D217" s="56">
        <v>1068800000</v>
      </c>
      <c r="E217" s="57" t="s">
        <v>696</v>
      </c>
      <c r="F217" s="58" t="s">
        <v>1169</v>
      </c>
      <c r="G217" s="56">
        <v>1068800000</v>
      </c>
      <c r="H217" s="57" t="s">
        <v>696</v>
      </c>
      <c r="I217" s="49"/>
      <c r="J217" s="50">
        <f t="shared" si="7"/>
        <v>0</v>
      </c>
      <c r="K217" s="49"/>
      <c r="L217" s="49"/>
      <c r="M217" s="49"/>
    </row>
    <row r="218" spans="2:13" x14ac:dyDescent="0.25">
      <c r="B218" s="71"/>
      <c r="C218" s="55" t="s">
        <v>160</v>
      </c>
      <c r="D218" s="56">
        <v>40000000</v>
      </c>
      <c r="E218" s="57" t="s">
        <v>696</v>
      </c>
      <c r="F218" s="58" t="s">
        <v>160</v>
      </c>
      <c r="G218" s="56">
        <v>40000000</v>
      </c>
      <c r="H218" s="57" t="s">
        <v>696</v>
      </c>
      <c r="I218" s="49"/>
      <c r="J218" s="50">
        <f t="shared" si="7"/>
        <v>0</v>
      </c>
      <c r="K218" s="49"/>
      <c r="L218" s="49"/>
      <c r="M218" s="49"/>
    </row>
    <row r="219" spans="2:13" x14ac:dyDescent="0.25">
      <c r="B219" s="71"/>
      <c r="C219" s="55" t="s">
        <v>128</v>
      </c>
      <c r="D219" s="56">
        <v>1120000000</v>
      </c>
      <c r="E219" s="57" t="s">
        <v>696</v>
      </c>
      <c r="F219" s="58" t="s">
        <v>128</v>
      </c>
      <c r="G219" s="56">
        <v>1120000000</v>
      </c>
      <c r="H219" s="57" t="s">
        <v>696</v>
      </c>
      <c r="I219" s="49"/>
      <c r="J219" s="50">
        <f t="shared" si="7"/>
        <v>0</v>
      </c>
      <c r="K219" s="49"/>
      <c r="L219" s="49"/>
      <c r="M219" s="49"/>
    </row>
    <row r="220" spans="2:13" x14ac:dyDescent="0.25">
      <c r="B220" s="71"/>
      <c r="C220" s="55" t="s">
        <v>114</v>
      </c>
      <c r="D220" s="56">
        <f>26376723-2616000</f>
        <v>23760723</v>
      </c>
      <c r="E220" s="57" t="s">
        <v>702</v>
      </c>
      <c r="F220" s="58" t="s">
        <v>114</v>
      </c>
      <c r="G220" s="56">
        <f>26376723-2616000</f>
        <v>23760723</v>
      </c>
      <c r="H220" s="57" t="s">
        <v>702</v>
      </c>
      <c r="I220" s="49"/>
      <c r="J220" s="50">
        <f t="shared" si="7"/>
        <v>0</v>
      </c>
      <c r="K220" s="49"/>
      <c r="L220" s="49"/>
      <c r="M220" s="49"/>
    </row>
    <row r="221" spans="2:13" s="79" customFormat="1" x14ac:dyDescent="0.25">
      <c r="B221" s="83"/>
      <c r="C221" s="74" t="s">
        <v>111</v>
      </c>
      <c r="D221" s="75">
        <v>29772760</v>
      </c>
      <c r="E221" s="76" t="s">
        <v>702</v>
      </c>
      <c r="F221" s="77" t="s">
        <v>111</v>
      </c>
      <c r="G221" s="75">
        <f>35156759-5384000</f>
        <v>29772759</v>
      </c>
      <c r="H221" s="76" t="s">
        <v>702</v>
      </c>
      <c r="I221" s="73" t="s">
        <v>1155</v>
      </c>
      <c r="J221" s="78">
        <f t="shared" si="7"/>
        <v>-1</v>
      </c>
      <c r="K221" s="73"/>
      <c r="L221" s="73"/>
      <c r="M221" s="73"/>
    </row>
    <row r="222" spans="2:13" x14ac:dyDescent="0.25">
      <c r="B222" s="71"/>
      <c r="C222" s="55" t="s">
        <v>117</v>
      </c>
      <c r="D222" s="56">
        <v>89000000</v>
      </c>
      <c r="E222" s="57" t="s">
        <v>706</v>
      </c>
      <c r="F222" s="58" t="s">
        <v>117</v>
      </c>
      <c r="G222" s="56">
        <v>89000000</v>
      </c>
      <c r="H222" s="57" t="s">
        <v>706</v>
      </c>
      <c r="I222" s="49"/>
      <c r="J222" s="50">
        <f t="shared" si="7"/>
        <v>0</v>
      </c>
      <c r="K222" s="49"/>
      <c r="L222" s="49"/>
      <c r="M222" s="49"/>
    </row>
    <row r="223" spans="2:13" x14ac:dyDescent="0.25">
      <c r="B223" s="71"/>
      <c r="C223" s="58" t="s">
        <v>111</v>
      </c>
      <c r="D223" s="56">
        <f>20000000+20000000-40000000</f>
        <v>0</v>
      </c>
      <c r="E223" s="57" t="s">
        <v>710</v>
      </c>
      <c r="F223" s="58" t="s">
        <v>111</v>
      </c>
      <c r="G223" s="56">
        <f>20000000+20000000-40000000</f>
        <v>0</v>
      </c>
      <c r="H223" s="57" t="s">
        <v>710</v>
      </c>
      <c r="I223" s="49"/>
      <c r="J223" s="50">
        <f t="shared" si="7"/>
        <v>0</v>
      </c>
      <c r="K223" s="49"/>
      <c r="L223" s="49"/>
      <c r="M223" s="49"/>
    </row>
    <row r="224" spans="2:13" s="79" customFormat="1" x14ac:dyDescent="0.25">
      <c r="B224" s="254" t="s">
        <v>1170</v>
      </c>
      <c r="C224" s="74" t="s">
        <v>128</v>
      </c>
      <c r="D224" s="75">
        <v>31955400</v>
      </c>
      <c r="E224" s="76" t="s">
        <v>714</v>
      </c>
      <c r="F224" s="77" t="s">
        <v>128</v>
      </c>
      <c r="G224" s="75">
        <f>30000000+38000000+1955400</f>
        <v>69955400</v>
      </c>
      <c r="H224" s="76" t="s">
        <v>714</v>
      </c>
      <c r="I224" s="73" t="s">
        <v>1155</v>
      </c>
      <c r="J224" s="78"/>
      <c r="K224" s="73"/>
      <c r="L224" s="73"/>
      <c r="M224" s="73"/>
    </row>
    <row r="225" spans="2:13" s="79" customFormat="1" x14ac:dyDescent="0.25">
      <c r="B225" s="254"/>
      <c r="C225" s="74" t="s">
        <v>128</v>
      </c>
      <c r="D225" s="75">
        <v>38000000</v>
      </c>
      <c r="E225" s="76" t="s">
        <v>714</v>
      </c>
      <c r="F225" s="77" t="s">
        <v>128</v>
      </c>
      <c r="G225" s="92"/>
      <c r="H225" s="93"/>
      <c r="I225" s="73"/>
      <c r="J225" s="78"/>
      <c r="K225" s="73"/>
      <c r="L225" s="73"/>
      <c r="M225" s="73"/>
    </row>
    <row r="226" spans="2:13" x14ac:dyDescent="0.25">
      <c r="B226" s="71"/>
      <c r="C226" s="55" t="s">
        <v>126</v>
      </c>
      <c r="D226" s="56">
        <v>20201772</v>
      </c>
      <c r="E226" s="57" t="s">
        <v>143</v>
      </c>
      <c r="F226" s="58" t="s">
        <v>126</v>
      </c>
      <c r="G226" s="56">
        <v>20201772</v>
      </c>
      <c r="H226" s="57" t="s">
        <v>143</v>
      </c>
      <c r="I226" s="49"/>
      <c r="J226" s="50">
        <f>D226-G226</f>
        <v>0</v>
      </c>
      <c r="K226" s="49"/>
      <c r="L226" s="49"/>
      <c r="M226" s="49"/>
    </row>
    <row r="227" spans="2:13" x14ac:dyDescent="0.25">
      <c r="B227" s="71"/>
      <c r="C227" s="55" t="s">
        <v>126</v>
      </c>
      <c r="D227" s="56">
        <v>16975000</v>
      </c>
      <c r="E227" s="57" t="s">
        <v>143</v>
      </c>
      <c r="F227" s="58" t="s">
        <v>126</v>
      </c>
      <c r="G227" s="56">
        <v>16975000</v>
      </c>
      <c r="H227" s="57" t="s">
        <v>143</v>
      </c>
      <c r="I227" s="49"/>
      <c r="J227" s="50">
        <f>D227-G227</f>
        <v>0</v>
      </c>
      <c r="K227" s="49"/>
      <c r="L227" s="49"/>
      <c r="M227" s="49"/>
    </row>
    <row r="228" spans="2:13" s="79" customFormat="1" x14ac:dyDescent="0.25">
      <c r="B228" s="254" t="s">
        <v>1170</v>
      </c>
      <c r="C228" s="74" t="s">
        <v>117</v>
      </c>
      <c r="D228" s="75">
        <v>80000000</v>
      </c>
      <c r="E228" s="76" t="s">
        <v>722</v>
      </c>
      <c r="F228" s="77" t="s">
        <v>117</v>
      </c>
      <c r="G228" s="75">
        <f>80000000+49000000</f>
        <v>129000000</v>
      </c>
      <c r="H228" s="76" t="s">
        <v>722</v>
      </c>
      <c r="I228" s="73"/>
      <c r="J228" s="78"/>
      <c r="K228" s="73"/>
      <c r="L228" s="73"/>
      <c r="M228" s="73"/>
    </row>
    <row r="229" spans="2:13" s="79" customFormat="1" x14ac:dyDescent="0.25">
      <c r="B229" s="254"/>
      <c r="C229" s="74" t="s">
        <v>117</v>
      </c>
      <c r="D229" s="75">
        <v>49000000</v>
      </c>
      <c r="E229" s="76" t="s">
        <v>722</v>
      </c>
      <c r="F229" s="77" t="s">
        <v>117</v>
      </c>
      <c r="G229" s="92"/>
      <c r="H229" s="93"/>
      <c r="I229" s="73"/>
      <c r="J229" s="78"/>
      <c r="K229" s="73"/>
      <c r="L229" s="73"/>
      <c r="M229" s="73"/>
    </row>
    <row r="230" spans="2:13" x14ac:dyDescent="0.25">
      <c r="B230" s="71"/>
      <c r="C230" s="55" t="s">
        <v>725</v>
      </c>
      <c r="D230" s="56">
        <f>27572000-(7770000+14800000+5000000)</f>
        <v>2000</v>
      </c>
      <c r="E230" s="57" t="s">
        <v>728</v>
      </c>
      <c r="F230" s="58" t="s">
        <v>725</v>
      </c>
      <c r="G230" s="56">
        <f>27572000-(7770000+14800000+5000000)</f>
        <v>2000</v>
      </c>
      <c r="H230" s="57" t="s">
        <v>728</v>
      </c>
      <c r="I230" s="49"/>
      <c r="J230" s="50">
        <f t="shared" ref="J230:J262" si="8">D230-G230</f>
        <v>0</v>
      </c>
      <c r="K230" s="49"/>
      <c r="L230" s="49"/>
      <c r="M230" s="49"/>
    </row>
    <row r="231" spans="2:13" x14ac:dyDescent="0.25">
      <c r="B231" s="71"/>
      <c r="C231" s="55" t="s">
        <v>123</v>
      </c>
      <c r="D231" s="56">
        <f>10000000-(6000000+1025705)</f>
        <v>2974295</v>
      </c>
      <c r="E231" s="57" t="s">
        <v>732</v>
      </c>
      <c r="F231" s="58" t="s">
        <v>123</v>
      </c>
      <c r="G231" s="56">
        <f>10000000-(6000000+1025705)</f>
        <v>2974295</v>
      </c>
      <c r="H231" s="57" t="s">
        <v>732</v>
      </c>
      <c r="I231" s="49"/>
      <c r="J231" s="50">
        <f t="shared" si="8"/>
        <v>0</v>
      </c>
      <c r="K231" s="49"/>
      <c r="L231" s="49"/>
      <c r="M231" s="49"/>
    </row>
    <row r="232" spans="2:13" x14ac:dyDescent="0.25">
      <c r="B232" s="71"/>
      <c r="C232" s="55" t="s">
        <v>128</v>
      </c>
      <c r="D232" s="56">
        <v>0</v>
      </c>
      <c r="E232" s="57" t="s">
        <v>732</v>
      </c>
      <c r="F232" s="58" t="s">
        <v>128</v>
      </c>
      <c r="G232" s="56">
        <v>0</v>
      </c>
      <c r="H232" s="57" t="s">
        <v>732</v>
      </c>
      <c r="I232" s="49"/>
      <c r="J232" s="50">
        <f t="shared" si="8"/>
        <v>0</v>
      </c>
      <c r="K232" s="49"/>
      <c r="L232" s="49"/>
      <c r="M232" s="49"/>
    </row>
    <row r="233" spans="2:13" x14ac:dyDescent="0.25">
      <c r="B233" s="71"/>
      <c r="C233" s="55" t="s">
        <v>111</v>
      </c>
      <c r="D233" s="56">
        <f>24000000+ 6650600-(1700000+3610800)</f>
        <v>25339800</v>
      </c>
      <c r="E233" s="57" t="s">
        <v>738</v>
      </c>
      <c r="F233" s="58" t="s">
        <v>111</v>
      </c>
      <c r="G233" s="56">
        <f>24000000+ 6650600-(1700000+3610800)</f>
        <v>25339800</v>
      </c>
      <c r="H233" s="57" t="s">
        <v>738</v>
      </c>
      <c r="I233" s="49"/>
      <c r="J233" s="50">
        <f t="shared" si="8"/>
        <v>0</v>
      </c>
      <c r="K233" s="49"/>
      <c r="L233" s="49"/>
      <c r="M233" s="49"/>
    </row>
    <row r="234" spans="2:13" x14ac:dyDescent="0.25">
      <c r="B234" s="71"/>
      <c r="C234" s="55" t="s">
        <v>126</v>
      </c>
      <c r="D234" s="56">
        <v>30000000</v>
      </c>
      <c r="E234" s="57" t="s">
        <v>741</v>
      </c>
      <c r="F234" s="58" t="s">
        <v>126</v>
      </c>
      <c r="G234" s="56">
        <v>30000000</v>
      </c>
      <c r="H234" s="57" t="s">
        <v>741</v>
      </c>
      <c r="I234" s="49"/>
      <c r="J234" s="50">
        <f t="shared" si="8"/>
        <v>0</v>
      </c>
      <c r="K234" s="49"/>
      <c r="L234" s="49"/>
      <c r="M234" s="49"/>
    </row>
    <row r="235" spans="2:13" s="79" customFormat="1" x14ac:dyDescent="0.25">
      <c r="B235" s="83"/>
      <c r="C235" s="74" t="s">
        <v>123</v>
      </c>
      <c r="D235" s="75">
        <v>6997200</v>
      </c>
      <c r="E235" s="76" t="s">
        <v>744</v>
      </c>
      <c r="F235" s="77" t="s">
        <v>123</v>
      </c>
      <c r="G235" s="75">
        <v>16707600</v>
      </c>
      <c r="H235" s="76" t="s">
        <v>744</v>
      </c>
      <c r="I235" s="73" t="s">
        <v>1155</v>
      </c>
      <c r="J235" s="78">
        <f t="shared" si="8"/>
        <v>-9710400</v>
      </c>
      <c r="K235" s="73"/>
      <c r="L235" s="73"/>
      <c r="M235" s="73"/>
    </row>
    <row r="236" spans="2:13" x14ac:dyDescent="0.25">
      <c r="B236" s="71"/>
      <c r="C236" s="55" t="s">
        <v>128</v>
      </c>
      <c r="D236" s="56">
        <f>3754458- 975439</f>
        <v>2779019</v>
      </c>
      <c r="E236" s="57" t="s">
        <v>748</v>
      </c>
      <c r="F236" s="58" t="s">
        <v>128</v>
      </c>
      <c r="G236" s="56">
        <f>3754458- 975439</f>
        <v>2779019</v>
      </c>
      <c r="H236" s="57" t="s">
        <v>748</v>
      </c>
      <c r="I236" s="49"/>
      <c r="J236" s="50">
        <f t="shared" si="8"/>
        <v>0</v>
      </c>
      <c r="K236" s="49"/>
      <c r="L236" s="49"/>
      <c r="M236" s="49"/>
    </row>
    <row r="237" spans="2:13" x14ac:dyDescent="0.25">
      <c r="B237" s="71"/>
      <c r="C237" s="55" t="s">
        <v>111</v>
      </c>
      <c r="D237" s="56">
        <v>4138808</v>
      </c>
      <c r="E237" s="57" t="s">
        <v>748</v>
      </c>
      <c r="F237" s="58" t="s">
        <v>111</v>
      </c>
      <c r="G237" s="56">
        <v>4138808</v>
      </c>
      <c r="H237" s="57" t="s">
        <v>748</v>
      </c>
      <c r="I237" s="49"/>
      <c r="J237" s="50">
        <f t="shared" si="8"/>
        <v>0</v>
      </c>
      <c r="K237" s="49"/>
      <c r="L237" s="49"/>
      <c r="M237" s="49"/>
    </row>
    <row r="238" spans="2:13" x14ac:dyDescent="0.25">
      <c r="B238" s="71"/>
      <c r="C238" s="55" t="s">
        <v>114</v>
      </c>
      <c r="D238" s="56">
        <f>3950423-7392</f>
        <v>3943031</v>
      </c>
      <c r="E238" s="57" t="s">
        <v>748</v>
      </c>
      <c r="F238" s="58" t="s">
        <v>114</v>
      </c>
      <c r="G238" s="56">
        <f>3950423-7392</f>
        <v>3943031</v>
      </c>
      <c r="H238" s="57" t="s">
        <v>748</v>
      </c>
      <c r="I238" s="49"/>
      <c r="J238" s="50">
        <f t="shared" si="8"/>
        <v>0</v>
      </c>
      <c r="K238" s="49"/>
      <c r="L238" s="49"/>
      <c r="M238" s="49"/>
    </row>
    <row r="239" spans="2:13" x14ac:dyDescent="0.25">
      <c r="B239" s="71"/>
      <c r="C239" s="55" t="s">
        <v>111</v>
      </c>
      <c r="D239" s="56">
        <f>33716450-(4261229+1673317)</f>
        <v>27781904</v>
      </c>
      <c r="E239" s="57" t="s">
        <v>753</v>
      </c>
      <c r="F239" s="58" t="s">
        <v>111</v>
      </c>
      <c r="G239" s="56">
        <f>33716450-(4261229+1673317)</f>
        <v>27781904</v>
      </c>
      <c r="H239" s="57" t="s">
        <v>753</v>
      </c>
      <c r="I239" s="49"/>
      <c r="J239" s="50">
        <f t="shared" si="8"/>
        <v>0</v>
      </c>
      <c r="K239" s="49"/>
      <c r="L239" s="49"/>
      <c r="M239" s="49"/>
    </row>
    <row r="240" spans="2:13" x14ac:dyDescent="0.25">
      <c r="B240" s="71"/>
      <c r="C240" s="55" t="s">
        <v>114</v>
      </c>
      <c r="D240" s="56">
        <f>10709938-(D241+D242+D243+170062)</f>
        <v>3149804</v>
      </c>
      <c r="E240" s="57" t="s">
        <v>753</v>
      </c>
      <c r="F240" s="58" t="s">
        <v>114</v>
      </c>
      <c r="G240" s="56">
        <f>10709938-(G241+G242+G243+170062)</f>
        <v>3149804</v>
      </c>
      <c r="H240" s="57" t="s">
        <v>753</v>
      </c>
      <c r="I240" s="49"/>
      <c r="J240" s="50">
        <f t="shared" si="8"/>
        <v>0</v>
      </c>
      <c r="K240" s="49"/>
      <c r="L240" s="49"/>
      <c r="M240" s="49"/>
    </row>
    <row r="241" spans="2:13" x14ac:dyDescent="0.25">
      <c r="B241" s="71"/>
      <c r="C241" s="55" t="s">
        <v>756</v>
      </c>
      <c r="D241" s="56">
        <v>2471802</v>
      </c>
      <c r="E241" s="57" t="s">
        <v>753</v>
      </c>
      <c r="F241" s="58" t="s">
        <v>756</v>
      </c>
      <c r="G241" s="56">
        <v>2471802</v>
      </c>
      <c r="H241" s="57" t="s">
        <v>753</v>
      </c>
      <c r="I241" s="49"/>
      <c r="J241" s="50">
        <f t="shared" si="8"/>
        <v>0</v>
      </c>
      <c r="K241" s="49"/>
      <c r="L241" s="49"/>
      <c r="M241" s="49"/>
    </row>
    <row r="242" spans="2:13" x14ac:dyDescent="0.25">
      <c r="B242" s="71"/>
      <c r="C242" s="55" t="s">
        <v>68</v>
      </c>
      <c r="D242" s="56">
        <v>2213400</v>
      </c>
      <c r="E242" s="57" t="s">
        <v>753</v>
      </c>
      <c r="F242" s="58" t="s">
        <v>1171</v>
      </c>
      <c r="G242" s="56">
        <v>2213400</v>
      </c>
      <c r="H242" s="57" t="s">
        <v>753</v>
      </c>
      <c r="I242" s="49"/>
      <c r="J242" s="50">
        <f t="shared" si="8"/>
        <v>0</v>
      </c>
      <c r="K242" s="49"/>
      <c r="L242" s="49"/>
      <c r="M242" s="49"/>
    </row>
    <row r="243" spans="2:13" x14ac:dyDescent="0.25">
      <c r="B243" s="71"/>
      <c r="C243" s="55" t="s">
        <v>759</v>
      </c>
      <c r="D243" s="56">
        <v>2704870</v>
      </c>
      <c r="E243" s="57" t="s">
        <v>753</v>
      </c>
      <c r="F243" s="58" t="s">
        <v>759</v>
      </c>
      <c r="G243" s="56">
        <v>2704870</v>
      </c>
      <c r="H243" s="57" t="s">
        <v>753</v>
      </c>
      <c r="I243" s="49"/>
      <c r="J243" s="50">
        <f t="shared" si="8"/>
        <v>0</v>
      </c>
      <c r="K243" s="49"/>
      <c r="L243" s="49"/>
      <c r="M243" s="49"/>
    </row>
    <row r="244" spans="2:13" x14ac:dyDescent="0.25">
      <c r="B244" s="71"/>
      <c r="C244" s="55" t="s">
        <v>128</v>
      </c>
      <c r="D244" s="56">
        <f>6790574+4261229-(575269+314815)</f>
        <v>10161719</v>
      </c>
      <c r="E244" s="57" t="s">
        <v>753</v>
      </c>
      <c r="F244" s="58" t="s">
        <v>128</v>
      </c>
      <c r="G244" s="56">
        <f>6790574+4261229-(575269+314815)</f>
        <v>10161719</v>
      </c>
      <c r="H244" s="57" t="s">
        <v>753</v>
      </c>
      <c r="I244" s="49"/>
      <c r="J244" s="50">
        <f t="shared" si="8"/>
        <v>0</v>
      </c>
      <c r="K244" s="49"/>
      <c r="L244" s="49"/>
      <c r="M244" s="49"/>
    </row>
    <row r="245" spans="2:13" x14ac:dyDescent="0.25">
      <c r="B245" s="71"/>
      <c r="C245" s="55" t="s">
        <v>760</v>
      </c>
      <c r="D245" s="56">
        <f>696031 - 220745</f>
        <v>475286</v>
      </c>
      <c r="E245" s="57" t="s">
        <v>753</v>
      </c>
      <c r="F245" s="58" t="s">
        <v>760</v>
      </c>
      <c r="G245" s="56">
        <f>696031 - 220745</f>
        <v>475286</v>
      </c>
      <c r="H245" s="57" t="s">
        <v>753</v>
      </c>
      <c r="I245" s="49"/>
      <c r="J245" s="50">
        <f t="shared" si="8"/>
        <v>0</v>
      </c>
      <c r="K245" s="49"/>
      <c r="L245" s="49"/>
      <c r="M245" s="49"/>
    </row>
    <row r="246" spans="2:13" x14ac:dyDescent="0.25">
      <c r="B246" s="71"/>
      <c r="C246" s="55" t="s">
        <v>128</v>
      </c>
      <c r="D246" s="56">
        <f>874200-17400</f>
        <v>856800</v>
      </c>
      <c r="E246" s="57" t="s">
        <v>764</v>
      </c>
      <c r="F246" s="58" t="s">
        <v>128</v>
      </c>
      <c r="G246" s="56">
        <f>874200-17400</f>
        <v>856800</v>
      </c>
      <c r="H246" s="57" t="s">
        <v>764</v>
      </c>
      <c r="I246" s="49"/>
      <c r="J246" s="50">
        <f t="shared" si="8"/>
        <v>0</v>
      </c>
      <c r="K246" s="49"/>
      <c r="L246" s="49"/>
      <c r="M246" s="49"/>
    </row>
    <row r="247" spans="2:13" x14ac:dyDescent="0.25">
      <c r="B247" s="71"/>
      <c r="C247" s="55" t="s">
        <v>114</v>
      </c>
      <c r="D247" s="56">
        <f>904700-904700</f>
        <v>0</v>
      </c>
      <c r="E247" s="57" t="s">
        <v>764</v>
      </c>
      <c r="F247" s="58" t="s">
        <v>114</v>
      </c>
      <c r="G247" s="56">
        <f>904700-904700</f>
        <v>0</v>
      </c>
      <c r="H247" s="57" t="s">
        <v>764</v>
      </c>
      <c r="I247" s="49"/>
      <c r="J247" s="50">
        <f t="shared" si="8"/>
        <v>0</v>
      </c>
      <c r="K247" s="49"/>
      <c r="L247" s="49"/>
      <c r="M247" s="49"/>
    </row>
    <row r="248" spans="2:13" x14ac:dyDescent="0.25">
      <c r="B248" s="71"/>
      <c r="C248" s="55" t="s">
        <v>111</v>
      </c>
      <c r="D248" s="56">
        <f>5409700-(1420000+3111100+878600)</f>
        <v>0</v>
      </c>
      <c r="E248" s="57" t="s">
        <v>764</v>
      </c>
      <c r="F248" s="58" t="s">
        <v>111</v>
      </c>
      <c r="G248" s="56">
        <f>5409700-(1420000+3111100+878600)</f>
        <v>0</v>
      </c>
      <c r="H248" s="57" t="s">
        <v>764</v>
      </c>
      <c r="I248" s="49"/>
      <c r="J248" s="50">
        <f t="shared" si="8"/>
        <v>0</v>
      </c>
      <c r="K248" s="49"/>
      <c r="L248" s="49"/>
      <c r="M248" s="49"/>
    </row>
    <row r="249" spans="2:13" x14ac:dyDescent="0.25">
      <c r="B249" s="71"/>
      <c r="C249" s="55" t="s">
        <v>126</v>
      </c>
      <c r="D249" s="56">
        <v>100000000</v>
      </c>
      <c r="E249" s="57" t="s">
        <v>770</v>
      </c>
      <c r="F249" s="58" t="s">
        <v>126</v>
      </c>
      <c r="G249" s="56">
        <v>100000000</v>
      </c>
      <c r="H249" s="57" t="s">
        <v>770</v>
      </c>
      <c r="I249" s="49"/>
      <c r="J249" s="50">
        <f t="shared" si="8"/>
        <v>0</v>
      </c>
      <c r="K249" s="49"/>
      <c r="L249" s="49"/>
      <c r="M249" s="49"/>
    </row>
    <row r="250" spans="2:13" x14ac:dyDescent="0.25">
      <c r="B250" s="71"/>
      <c r="C250" s="55" t="s">
        <v>126</v>
      </c>
      <c r="D250" s="56">
        <f>3240000+1462500+27000000+85964000</f>
        <v>117666500</v>
      </c>
      <c r="E250" s="57" t="s">
        <v>773</v>
      </c>
      <c r="F250" s="58" t="s">
        <v>126</v>
      </c>
      <c r="G250" s="56">
        <f>3240000+1462500+27000000+85964000</f>
        <v>117666500</v>
      </c>
      <c r="H250" s="57" t="s">
        <v>773</v>
      </c>
      <c r="I250" s="49"/>
      <c r="J250" s="50">
        <f t="shared" si="8"/>
        <v>0</v>
      </c>
      <c r="K250" s="49"/>
      <c r="L250" s="49"/>
      <c r="M250" s="49"/>
    </row>
    <row r="251" spans="2:13" x14ac:dyDescent="0.25">
      <c r="B251" s="71"/>
      <c r="C251" s="55" t="s">
        <v>126</v>
      </c>
      <c r="D251" s="56">
        <v>0</v>
      </c>
      <c r="E251" s="57" t="s">
        <v>776</v>
      </c>
      <c r="F251" s="58" t="s">
        <v>126</v>
      </c>
      <c r="G251" s="56">
        <v>0</v>
      </c>
      <c r="H251" s="57" t="s">
        <v>776</v>
      </c>
      <c r="I251" s="49"/>
      <c r="J251" s="50">
        <f t="shared" si="8"/>
        <v>0</v>
      </c>
      <c r="K251" s="49"/>
      <c r="L251" s="49"/>
      <c r="M251" s="49"/>
    </row>
    <row r="252" spans="2:13" x14ac:dyDescent="0.25">
      <c r="B252" s="71"/>
      <c r="C252" s="55" t="s">
        <v>123</v>
      </c>
      <c r="D252" s="56">
        <f>2844100-2844100</f>
        <v>0</v>
      </c>
      <c r="E252" s="57" t="s">
        <v>779</v>
      </c>
      <c r="F252" s="58" t="s">
        <v>123</v>
      </c>
      <c r="G252" s="56">
        <f>2844100-2844100</f>
        <v>0</v>
      </c>
      <c r="H252" s="57" t="s">
        <v>779</v>
      </c>
      <c r="I252" s="49"/>
      <c r="J252" s="50">
        <f t="shared" si="8"/>
        <v>0</v>
      </c>
      <c r="K252" s="49"/>
      <c r="L252" s="49"/>
      <c r="M252" s="49"/>
    </row>
    <row r="253" spans="2:13" x14ac:dyDescent="0.25">
      <c r="B253" s="71"/>
      <c r="C253" s="55" t="s">
        <v>126</v>
      </c>
      <c r="D253" s="56">
        <f>25088000-15396516-9691484</f>
        <v>0</v>
      </c>
      <c r="E253" s="57" t="s">
        <v>782</v>
      </c>
      <c r="F253" s="58" t="s">
        <v>126</v>
      </c>
      <c r="G253" s="56">
        <f>25088000-15396516-9691484</f>
        <v>0</v>
      </c>
      <c r="H253" s="57" t="s">
        <v>782</v>
      </c>
      <c r="I253" s="49"/>
      <c r="J253" s="50">
        <f t="shared" si="8"/>
        <v>0</v>
      </c>
      <c r="K253" s="49"/>
      <c r="L253" s="49"/>
      <c r="M253" s="49"/>
    </row>
    <row r="254" spans="2:13" x14ac:dyDescent="0.25">
      <c r="B254" s="71"/>
      <c r="C254" s="55" t="s">
        <v>786</v>
      </c>
      <c r="D254" s="56">
        <v>2832267</v>
      </c>
      <c r="E254" s="57" t="s">
        <v>788</v>
      </c>
      <c r="F254" s="58" t="s">
        <v>786</v>
      </c>
      <c r="G254" s="56">
        <v>2832267</v>
      </c>
      <c r="H254" s="57" t="s">
        <v>788</v>
      </c>
      <c r="I254" s="49"/>
      <c r="J254" s="50">
        <f t="shared" si="8"/>
        <v>0</v>
      </c>
      <c r="K254" s="49"/>
      <c r="L254" s="49"/>
      <c r="M254" s="49"/>
    </row>
    <row r="255" spans="2:13" x14ac:dyDescent="0.25">
      <c r="B255" s="71"/>
      <c r="C255" s="55" t="s">
        <v>791</v>
      </c>
      <c r="D255" s="56">
        <v>649845</v>
      </c>
      <c r="E255" s="57" t="s">
        <v>788</v>
      </c>
      <c r="F255" s="58" t="s">
        <v>791</v>
      </c>
      <c r="G255" s="56">
        <v>649845</v>
      </c>
      <c r="H255" s="57" t="s">
        <v>788</v>
      </c>
      <c r="I255" s="49"/>
      <c r="J255" s="50">
        <f t="shared" si="8"/>
        <v>0</v>
      </c>
      <c r="K255" s="49"/>
      <c r="L255" s="49"/>
      <c r="M255" s="49"/>
    </row>
    <row r="256" spans="2:13" x14ac:dyDescent="0.25">
      <c r="B256" s="71"/>
      <c r="C256" s="55" t="s">
        <v>794</v>
      </c>
      <c r="D256" s="56">
        <v>617217</v>
      </c>
      <c r="E256" s="57" t="s">
        <v>788</v>
      </c>
      <c r="F256" s="58" t="s">
        <v>794</v>
      </c>
      <c r="G256" s="56">
        <v>617217</v>
      </c>
      <c r="H256" s="57" t="s">
        <v>788</v>
      </c>
      <c r="I256" s="49"/>
      <c r="J256" s="50">
        <f t="shared" si="8"/>
        <v>0</v>
      </c>
      <c r="K256" s="49"/>
      <c r="L256" s="49"/>
      <c r="M256" s="49"/>
    </row>
    <row r="257" spans="2:13" x14ac:dyDescent="0.25">
      <c r="B257" s="71"/>
      <c r="C257" s="55" t="s">
        <v>786</v>
      </c>
      <c r="D257" s="56">
        <v>6576416</v>
      </c>
      <c r="E257" s="57" t="s">
        <v>797</v>
      </c>
      <c r="F257" s="58" t="s">
        <v>786</v>
      </c>
      <c r="G257" s="56">
        <v>6576416</v>
      </c>
      <c r="H257" s="57" t="s">
        <v>797</v>
      </c>
      <c r="I257" s="49"/>
      <c r="J257" s="50">
        <f t="shared" si="8"/>
        <v>0</v>
      </c>
      <c r="K257" s="49"/>
      <c r="L257" s="49"/>
      <c r="M257" s="49"/>
    </row>
    <row r="258" spans="2:13" x14ac:dyDescent="0.25">
      <c r="B258" s="71"/>
      <c r="C258" s="55" t="s">
        <v>786</v>
      </c>
      <c r="D258" s="56">
        <v>5000000</v>
      </c>
      <c r="E258" s="57" t="s">
        <v>801</v>
      </c>
      <c r="F258" s="58" t="s">
        <v>786</v>
      </c>
      <c r="G258" s="56">
        <v>5000000</v>
      </c>
      <c r="H258" s="57" t="s">
        <v>801</v>
      </c>
      <c r="I258" s="49"/>
      <c r="J258" s="50">
        <f t="shared" si="8"/>
        <v>0</v>
      </c>
      <c r="K258" s="49"/>
      <c r="L258" s="49"/>
      <c r="M258" s="49"/>
    </row>
    <row r="259" spans="2:13" ht="22.5" x14ac:dyDescent="0.25">
      <c r="B259" s="71"/>
      <c r="C259" s="55" t="s">
        <v>804</v>
      </c>
      <c r="D259" s="56">
        <v>22161386</v>
      </c>
      <c r="E259" s="57" t="s">
        <v>266</v>
      </c>
      <c r="F259" s="58" t="s">
        <v>804</v>
      </c>
      <c r="G259" s="56">
        <v>22161386</v>
      </c>
      <c r="H259" s="57" t="s">
        <v>266</v>
      </c>
      <c r="I259" s="49"/>
      <c r="J259" s="50">
        <f t="shared" si="8"/>
        <v>0</v>
      </c>
      <c r="K259" s="49"/>
      <c r="L259" s="49"/>
      <c r="M259" s="49"/>
    </row>
    <row r="260" spans="2:13" ht="22.5" x14ac:dyDescent="0.25">
      <c r="B260" s="71"/>
      <c r="C260" s="55" t="s">
        <v>804</v>
      </c>
      <c r="D260" s="56">
        <v>6846000</v>
      </c>
      <c r="E260" s="57" t="s">
        <v>266</v>
      </c>
      <c r="F260" s="58" t="s">
        <v>804</v>
      </c>
      <c r="G260" s="56">
        <v>6846000</v>
      </c>
      <c r="H260" s="57" t="s">
        <v>266</v>
      </c>
      <c r="I260" s="49"/>
      <c r="J260" s="50">
        <f t="shared" si="8"/>
        <v>0</v>
      </c>
      <c r="K260" s="49"/>
      <c r="L260" s="49"/>
      <c r="M260" s="49"/>
    </row>
    <row r="261" spans="2:13" x14ac:dyDescent="0.25">
      <c r="B261" s="71"/>
      <c r="C261" s="55" t="s">
        <v>810</v>
      </c>
      <c r="D261" s="56">
        <v>1804486959</v>
      </c>
      <c r="E261" s="57" t="s">
        <v>510</v>
      </c>
      <c r="F261" s="58" t="s">
        <v>810</v>
      </c>
      <c r="G261" s="56">
        <v>1804486959</v>
      </c>
      <c r="H261" s="57" t="s">
        <v>510</v>
      </c>
      <c r="I261" s="49"/>
      <c r="J261" s="50">
        <f t="shared" si="8"/>
        <v>0</v>
      </c>
      <c r="K261" s="49"/>
      <c r="L261" s="49"/>
      <c r="M261" s="49"/>
    </row>
    <row r="262" spans="2:13" ht="22.5" x14ac:dyDescent="0.25">
      <c r="B262" s="71"/>
      <c r="C262" s="55" t="s">
        <v>814</v>
      </c>
      <c r="D262" s="56">
        <v>7111115</v>
      </c>
      <c r="E262" s="57" t="s">
        <v>266</v>
      </c>
      <c r="F262" s="58" t="s">
        <v>814</v>
      </c>
      <c r="G262" s="56">
        <v>7111115</v>
      </c>
      <c r="H262" s="57" t="s">
        <v>266</v>
      </c>
      <c r="I262" s="49"/>
      <c r="J262" s="50">
        <f t="shared" si="8"/>
        <v>0</v>
      </c>
      <c r="K262" s="49"/>
      <c r="L262" s="49"/>
      <c r="M262" s="49"/>
    </row>
    <row r="263" spans="2:13" s="102" customFormat="1" ht="63" customHeight="1" x14ac:dyDescent="0.25">
      <c r="B263" s="117" t="s">
        <v>1205</v>
      </c>
      <c r="C263" s="94" t="s">
        <v>814</v>
      </c>
      <c r="D263" s="95">
        <v>17528000</v>
      </c>
      <c r="E263" s="96"/>
      <c r="F263" s="97" t="s">
        <v>814</v>
      </c>
      <c r="G263" s="97"/>
      <c r="H263" s="98"/>
      <c r="I263" s="99"/>
      <c r="J263" s="100"/>
      <c r="K263" s="101"/>
      <c r="L263" s="99"/>
      <c r="M263" s="99"/>
    </row>
    <row r="264" spans="2:13" x14ac:dyDescent="0.25">
      <c r="B264" s="71"/>
      <c r="C264" s="55" t="s">
        <v>814</v>
      </c>
      <c r="D264" s="56">
        <v>20002626</v>
      </c>
      <c r="E264" s="57" t="s">
        <v>820</v>
      </c>
      <c r="F264" s="58" t="s">
        <v>814</v>
      </c>
      <c r="G264" s="56">
        <v>20002626</v>
      </c>
      <c r="H264" s="57" t="s">
        <v>820</v>
      </c>
      <c r="I264" s="49"/>
      <c r="J264" s="50">
        <f t="shared" ref="J264:J280" si="9">G264-D264</f>
        <v>0</v>
      </c>
      <c r="K264" s="49"/>
      <c r="L264" s="49"/>
      <c r="M264" s="49"/>
    </row>
    <row r="265" spans="2:13" x14ac:dyDescent="0.25">
      <c r="B265" s="71"/>
      <c r="C265" s="55" t="s">
        <v>823</v>
      </c>
      <c r="D265" s="56">
        <v>16065000</v>
      </c>
      <c r="E265" s="57" t="s">
        <v>826</v>
      </c>
      <c r="F265" s="58" t="s">
        <v>823</v>
      </c>
      <c r="G265" s="56">
        <v>16065000</v>
      </c>
      <c r="H265" s="57" t="s">
        <v>826</v>
      </c>
      <c r="I265" s="49"/>
      <c r="J265" s="50">
        <f t="shared" si="9"/>
        <v>0</v>
      </c>
      <c r="K265" s="49"/>
      <c r="L265" s="49"/>
      <c r="M265" s="49"/>
    </row>
    <row r="266" spans="2:13" x14ac:dyDescent="0.25">
      <c r="B266" s="71"/>
      <c r="C266" s="55" t="s">
        <v>123</v>
      </c>
      <c r="D266" s="56">
        <v>23482500</v>
      </c>
      <c r="E266" s="57" t="s">
        <v>832</v>
      </c>
      <c r="F266" s="58" t="s">
        <v>123</v>
      </c>
      <c r="G266" s="56">
        <v>23482500</v>
      </c>
      <c r="H266" s="57" t="s">
        <v>832</v>
      </c>
      <c r="I266" s="49"/>
      <c r="J266" s="50">
        <f t="shared" si="9"/>
        <v>0</v>
      </c>
      <c r="K266" s="49"/>
      <c r="L266" s="49"/>
      <c r="M266" s="49"/>
    </row>
    <row r="267" spans="2:13" s="79" customFormat="1" x14ac:dyDescent="0.25">
      <c r="B267" s="83" t="s">
        <v>1208</v>
      </c>
      <c r="C267" s="74" t="s">
        <v>123</v>
      </c>
      <c r="D267" s="75">
        <v>8109731</v>
      </c>
      <c r="E267" s="76" t="s">
        <v>836</v>
      </c>
      <c r="F267" s="77" t="s">
        <v>123</v>
      </c>
      <c r="G267" s="75">
        <f>8109731+1416219</f>
        <v>9525950</v>
      </c>
      <c r="H267" s="76" t="s">
        <v>836</v>
      </c>
      <c r="I267" s="73"/>
      <c r="J267" s="78">
        <f t="shared" si="9"/>
        <v>1416219</v>
      </c>
      <c r="K267" s="73"/>
      <c r="L267" s="73"/>
      <c r="M267" s="73"/>
    </row>
    <row r="268" spans="2:13" x14ac:dyDescent="0.25">
      <c r="B268" s="71"/>
      <c r="C268" s="55" t="s">
        <v>114</v>
      </c>
      <c r="D268" s="56">
        <v>285600</v>
      </c>
      <c r="E268" s="57" t="s">
        <v>836</v>
      </c>
      <c r="F268" s="58" t="s">
        <v>114</v>
      </c>
      <c r="G268" s="56">
        <v>285600</v>
      </c>
      <c r="H268" s="57" t="s">
        <v>836</v>
      </c>
      <c r="I268" s="49"/>
      <c r="J268" s="50">
        <f t="shared" si="9"/>
        <v>0</v>
      </c>
      <c r="K268" s="49"/>
      <c r="L268" s="49"/>
      <c r="M268" s="49"/>
    </row>
    <row r="269" spans="2:13" x14ac:dyDescent="0.25">
      <c r="B269" s="71"/>
      <c r="C269" s="55" t="s">
        <v>123</v>
      </c>
      <c r="D269" s="56">
        <v>0</v>
      </c>
      <c r="E269" s="57" t="s">
        <v>836</v>
      </c>
      <c r="F269" s="58" t="s">
        <v>123</v>
      </c>
      <c r="G269" s="56">
        <v>0</v>
      </c>
      <c r="H269" s="57" t="s">
        <v>836</v>
      </c>
      <c r="I269" s="49"/>
      <c r="J269" s="50">
        <f t="shared" si="9"/>
        <v>0</v>
      </c>
      <c r="K269" s="49"/>
      <c r="L269" s="49"/>
      <c r="M269" s="49"/>
    </row>
    <row r="270" spans="2:13" s="79" customFormat="1" x14ac:dyDescent="0.25">
      <c r="B270" s="83" t="s">
        <v>1206</v>
      </c>
      <c r="C270" s="74" t="s">
        <v>84</v>
      </c>
      <c r="D270" s="75">
        <f>37500000</f>
        <v>37500000</v>
      </c>
      <c r="E270" s="76" t="s">
        <v>839</v>
      </c>
      <c r="F270" s="77" t="s">
        <v>84</v>
      </c>
      <c r="G270" s="75">
        <f>37500000+4172422</f>
        <v>41672422</v>
      </c>
      <c r="H270" s="76" t="s">
        <v>839</v>
      </c>
      <c r="I270" s="73" t="s">
        <v>1207</v>
      </c>
      <c r="J270" s="78">
        <f t="shared" si="9"/>
        <v>4172422</v>
      </c>
      <c r="K270" s="73"/>
      <c r="L270" s="73" t="s">
        <v>1172</v>
      </c>
      <c r="M270" s="73"/>
    </row>
    <row r="271" spans="2:13" s="79" customFormat="1" x14ac:dyDescent="0.25">
      <c r="B271" s="83"/>
      <c r="C271" s="74" t="s">
        <v>114</v>
      </c>
      <c r="D271" s="75">
        <f>4275000-102578</f>
        <v>4172422</v>
      </c>
      <c r="E271" s="76" t="s">
        <v>839</v>
      </c>
      <c r="F271" s="77" t="s">
        <v>114</v>
      </c>
      <c r="G271" s="75">
        <f>4275000-102578</f>
        <v>4172422</v>
      </c>
      <c r="H271" s="76" t="s">
        <v>839</v>
      </c>
      <c r="I271" s="73"/>
      <c r="J271" s="78">
        <f t="shared" si="9"/>
        <v>0</v>
      </c>
      <c r="K271" s="73"/>
      <c r="L271" s="73"/>
      <c r="M271" s="73"/>
    </row>
    <row r="272" spans="2:13" x14ac:dyDescent="0.25">
      <c r="B272" s="71"/>
      <c r="C272" s="55" t="s">
        <v>99</v>
      </c>
      <c r="D272" s="56">
        <f>98894000-(19185682+1100000+28650000+1701819+45360000)</f>
        <v>2896499</v>
      </c>
      <c r="E272" s="57" t="s">
        <v>844</v>
      </c>
      <c r="F272" s="58" t="s">
        <v>99</v>
      </c>
      <c r="G272" s="56">
        <f>98894000-(19185682+1100000+28650000+1701819+45360000)</f>
        <v>2896499</v>
      </c>
      <c r="H272" s="57" t="s">
        <v>844</v>
      </c>
      <c r="I272" s="49"/>
      <c r="J272" s="50">
        <f t="shared" si="9"/>
        <v>0</v>
      </c>
      <c r="K272" s="49"/>
      <c r="L272" s="49"/>
      <c r="M272" s="49"/>
    </row>
    <row r="273" spans="2:13" x14ac:dyDescent="0.25">
      <c r="B273" s="71"/>
      <c r="C273" s="55" t="s">
        <v>114</v>
      </c>
      <c r="D273" s="56">
        <v>0</v>
      </c>
      <c r="E273" s="57" t="s">
        <v>847</v>
      </c>
      <c r="F273" s="58" t="s">
        <v>114</v>
      </c>
      <c r="G273" s="56">
        <v>0</v>
      </c>
      <c r="H273" s="57" t="s">
        <v>847</v>
      </c>
      <c r="I273" s="49"/>
      <c r="J273" s="50">
        <f t="shared" si="9"/>
        <v>0</v>
      </c>
      <c r="K273" s="49"/>
      <c r="L273" s="49"/>
      <c r="M273" s="49"/>
    </row>
    <row r="274" spans="2:13" x14ac:dyDescent="0.25">
      <c r="B274" s="71"/>
      <c r="C274" s="55" t="s">
        <v>111</v>
      </c>
      <c r="D274" s="56">
        <v>260610</v>
      </c>
      <c r="E274" s="57" t="s">
        <v>70</v>
      </c>
      <c r="F274" s="58" t="s">
        <v>111</v>
      </c>
      <c r="G274" s="56">
        <v>260610</v>
      </c>
      <c r="H274" s="57" t="s">
        <v>70</v>
      </c>
      <c r="I274" s="49"/>
      <c r="J274" s="50">
        <f t="shared" si="9"/>
        <v>0</v>
      </c>
      <c r="K274" s="49"/>
      <c r="L274" s="49"/>
      <c r="M274" s="49"/>
    </row>
    <row r="275" spans="2:13" x14ac:dyDescent="0.25">
      <c r="B275" s="71"/>
      <c r="C275" s="55" t="s">
        <v>255</v>
      </c>
      <c r="D275" s="56">
        <v>90000000</v>
      </c>
      <c r="E275" s="57" t="s">
        <v>851</v>
      </c>
      <c r="F275" s="58" t="s">
        <v>255</v>
      </c>
      <c r="G275" s="56">
        <v>90000000</v>
      </c>
      <c r="H275" s="57" t="s">
        <v>851</v>
      </c>
      <c r="I275" s="49"/>
      <c r="J275" s="50">
        <f t="shared" si="9"/>
        <v>0</v>
      </c>
      <c r="K275" s="49"/>
      <c r="L275" s="49"/>
      <c r="M275" s="49"/>
    </row>
    <row r="276" spans="2:13" x14ac:dyDescent="0.25">
      <c r="B276" s="71"/>
      <c r="C276" s="55" t="s">
        <v>93</v>
      </c>
      <c r="D276" s="56">
        <f>1824401+398699-(797895+226506)</f>
        <v>1198699</v>
      </c>
      <c r="E276" s="57" t="s">
        <v>855</v>
      </c>
      <c r="F276" s="58" t="s">
        <v>93</v>
      </c>
      <c r="G276" s="56">
        <f>1824401+398699-(797895+226506)</f>
        <v>1198699</v>
      </c>
      <c r="H276" s="57" t="s">
        <v>855</v>
      </c>
      <c r="I276" s="49"/>
      <c r="J276" s="50">
        <f t="shared" si="9"/>
        <v>0</v>
      </c>
      <c r="K276" s="49"/>
      <c r="L276" s="49"/>
      <c r="M276" s="49"/>
    </row>
    <row r="277" spans="2:13" x14ac:dyDescent="0.25">
      <c r="B277" s="71"/>
      <c r="C277" s="55" t="s">
        <v>114</v>
      </c>
      <c r="D277" s="56">
        <f>102578+226506-155939</f>
        <v>173145</v>
      </c>
      <c r="E277" s="57" t="s">
        <v>855</v>
      </c>
      <c r="F277" s="58" t="s">
        <v>114</v>
      </c>
      <c r="G277" s="56">
        <f>102578+226506-155939</f>
        <v>173145</v>
      </c>
      <c r="H277" s="57" t="s">
        <v>855</v>
      </c>
      <c r="I277" s="49"/>
      <c r="J277" s="50">
        <f t="shared" si="9"/>
        <v>0</v>
      </c>
      <c r="K277" s="49"/>
      <c r="L277" s="49"/>
      <c r="M277" s="49"/>
    </row>
    <row r="278" spans="2:13" x14ac:dyDescent="0.25">
      <c r="B278" s="71"/>
      <c r="C278" s="55" t="s">
        <v>664</v>
      </c>
      <c r="D278" s="56">
        <f>797895- 242760</f>
        <v>555135</v>
      </c>
      <c r="E278" s="57" t="s">
        <v>855</v>
      </c>
      <c r="F278" s="58" t="s">
        <v>664</v>
      </c>
      <c r="G278" s="56">
        <f>797895- 242760</f>
        <v>555135</v>
      </c>
      <c r="H278" s="57" t="s">
        <v>855</v>
      </c>
      <c r="I278" s="49"/>
      <c r="J278" s="50">
        <f t="shared" si="9"/>
        <v>0</v>
      </c>
      <c r="K278" s="49"/>
      <c r="L278" s="49"/>
      <c r="M278" s="49"/>
    </row>
    <row r="279" spans="2:13" x14ac:dyDescent="0.25">
      <c r="B279" s="71"/>
      <c r="C279" s="55" t="s">
        <v>126</v>
      </c>
      <c r="D279" s="56">
        <f>4720000+1784000+1504044</f>
        <v>8008044</v>
      </c>
      <c r="E279" s="57" t="s">
        <v>861</v>
      </c>
      <c r="F279" s="58" t="s">
        <v>126</v>
      </c>
      <c r="G279" s="56">
        <f>4720000+1784000+1504044</f>
        <v>8008044</v>
      </c>
      <c r="H279" s="57" t="s">
        <v>861</v>
      </c>
      <c r="I279" s="49"/>
      <c r="J279" s="50">
        <f t="shared" si="9"/>
        <v>0</v>
      </c>
      <c r="K279" s="49"/>
      <c r="L279" s="49"/>
      <c r="M279" s="49"/>
    </row>
    <row r="280" spans="2:13" x14ac:dyDescent="0.25">
      <c r="B280" s="71"/>
      <c r="C280" s="55" t="s">
        <v>123</v>
      </c>
      <c r="D280" s="56">
        <v>0</v>
      </c>
      <c r="E280" s="57" t="s">
        <v>864</v>
      </c>
      <c r="F280" s="58" t="s">
        <v>123</v>
      </c>
      <c r="G280" s="56">
        <v>0</v>
      </c>
      <c r="H280" s="57" t="s">
        <v>864</v>
      </c>
      <c r="I280" s="49"/>
      <c r="J280" s="50">
        <f t="shared" si="9"/>
        <v>0</v>
      </c>
      <c r="K280" s="49"/>
      <c r="L280" s="49"/>
      <c r="M280" s="49"/>
    </row>
    <row r="281" spans="2:13" s="79" customFormat="1" ht="23.25" x14ac:dyDescent="0.25">
      <c r="B281" s="115" t="s">
        <v>1173</v>
      </c>
      <c r="C281" s="105" t="s">
        <v>120</v>
      </c>
      <c r="D281" s="106">
        <v>247025474</v>
      </c>
      <c r="E281" s="107" t="s">
        <v>510</v>
      </c>
      <c r="F281" s="105" t="s">
        <v>120</v>
      </c>
      <c r="G281" s="108">
        <f>367684384+384822599+70956218+779043782+469280937-(505247446+779043782+234063+4760000+50000000+8568000+13163616)</f>
        <v>710771013</v>
      </c>
      <c r="H281" s="107" t="s">
        <v>510</v>
      </c>
      <c r="I281" s="109"/>
      <c r="J281" s="110"/>
      <c r="K281" s="106">
        <v>247025474</v>
      </c>
      <c r="L281" s="111" t="s">
        <v>53</v>
      </c>
      <c r="M281" s="109"/>
    </row>
    <row r="282" spans="2:13" s="79" customFormat="1" x14ac:dyDescent="0.25">
      <c r="B282" s="116"/>
      <c r="C282" s="105" t="s">
        <v>120</v>
      </c>
      <c r="D282" s="106">
        <v>472313539</v>
      </c>
      <c r="E282" s="107"/>
      <c r="F282" s="105" t="s">
        <v>120</v>
      </c>
      <c r="G282" s="108"/>
      <c r="H282" s="107" t="s">
        <v>510</v>
      </c>
      <c r="I282" s="109"/>
      <c r="J282" s="110"/>
      <c r="K282" s="106">
        <v>472313539</v>
      </c>
      <c r="L282" s="111" t="s">
        <v>282</v>
      </c>
      <c r="M282" s="109"/>
    </row>
    <row r="283" spans="2:13" x14ac:dyDescent="0.25">
      <c r="B283" s="71"/>
      <c r="C283" s="55" t="s">
        <v>869</v>
      </c>
      <c r="D283" s="56">
        <v>3422250000</v>
      </c>
      <c r="E283" s="57" t="s">
        <v>871</v>
      </c>
      <c r="F283" s="58" t="s">
        <v>869</v>
      </c>
      <c r="G283" s="56">
        <v>3422250000</v>
      </c>
      <c r="H283" s="57" t="s">
        <v>871</v>
      </c>
      <c r="I283" s="49"/>
      <c r="J283" s="50">
        <f t="shared" ref="J283:J314" si="10">G283-D283</f>
        <v>0</v>
      </c>
      <c r="K283" s="46"/>
      <c r="L283" s="49"/>
      <c r="M283" s="49"/>
    </row>
    <row r="284" spans="2:13" ht="22.5" x14ac:dyDescent="0.25">
      <c r="B284" s="71"/>
      <c r="C284" s="55" t="s">
        <v>123</v>
      </c>
      <c r="D284" s="56">
        <v>1116615116</v>
      </c>
      <c r="E284" s="57" t="s">
        <v>876</v>
      </c>
      <c r="F284" s="58" t="s">
        <v>123</v>
      </c>
      <c r="G284" s="56">
        <v>1116615115.98</v>
      </c>
      <c r="H284" s="57" t="s">
        <v>876</v>
      </c>
      <c r="I284" s="49"/>
      <c r="J284" s="50">
        <f t="shared" si="10"/>
        <v>-1.9999980926513672E-2</v>
      </c>
      <c r="K284" s="49"/>
      <c r="L284" s="49"/>
      <c r="M284" s="49"/>
    </row>
    <row r="285" spans="2:13" x14ac:dyDescent="0.25">
      <c r="B285" s="71"/>
      <c r="C285" s="55" t="s">
        <v>123</v>
      </c>
      <c r="D285" s="56">
        <f>25000000-10442250</f>
        <v>14557750</v>
      </c>
      <c r="E285" s="57" t="s">
        <v>879</v>
      </c>
      <c r="F285" s="58" t="s">
        <v>123</v>
      </c>
      <c r="G285" s="56">
        <f>25000000-10442250</f>
        <v>14557750</v>
      </c>
      <c r="H285" s="57" t="s">
        <v>879</v>
      </c>
      <c r="I285" s="49"/>
      <c r="J285" s="50">
        <f t="shared" si="10"/>
        <v>0</v>
      </c>
      <c r="K285" s="49"/>
      <c r="L285" s="49"/>
      <c r="M285" s="49"/>
    </row>
    <row r="286" spans="2:13" x14ac:dyDescent="0.25">
      <c r="B286" s="71"/>
      <c r="C286" s="55" t="s">
        <v>123</v>
      </c>
      <c r="D286" s="56">
        <v>629836024</v>
      </c>
      <c r="E286" s="57" t="s">
        <v>882</v>
      </c>
      <c r="F286" s="58" t="s">
        <v>123</v>
      </c>
      <c r="G286" s="56">
        <v>629836024</v>
      </c>
      <c r="H286" s="57" t="s">
        <v>882</v>
      </c>
      <c r="I286" s="49"/>
      <c r="J286" s="50">
        <f t="shared" si="10"/>
        <v>0</v>
      </c>
      <c r="K286" s="49"/>
      <c r="L286" s="49"/>
      <c r="M286" s="49"/>
    </row>
    <row r="287" spans="2:13" x14ac:dyDescent="0.25">
      <c r="B287" s="71"/>
      <c r="C287" s="55" t="s">
        <v>123</v>
      </c>
      <c r="D287" s="56">
        <v>326464350</v>
      </c>
      <c r="E287" s="57" t="s">
        <v>884</v>
      </c>
      <c r="F287" s="58" t="s">
        <v>123</v>
      </c>
      <c r="G287" s="56">
        <v>326464350</v>
      </c>
      <c r="H287" s="57" t="s">
        <v>884</v>
      </c>
      <c r="I287" s="49"/>
      <c r="J287" s="50">
        <f t="shared" si="10"/>
        <v>0</v>
      </c>
      <c r="K287" s="49"/>
      <c r="L287" s="49"/>
      <c r="M287" s="49"/>
    </row>
    <row r="288" spans="2:13" x14ac:dyDescent="0.25">
      <c r="B288" s="71"/>
      <c r="C288" s="55" t="s">
        <v>81</v>
      </c>
      <c r="D288" s="56">
        <v>45000000</v>
      </c>
      <c r="E288" s="57" t="s">
        <v>886</v>
      </c>
      <c r="F288" s="58" t="s">
        <v>81</v>
      </c>
      <c r="G288" s="56">
        <v>45000000</v>
      </c>
      <c r="H288" s="57" t="s">
        <v>886</v>
      </c>
      <c r="I288" s="49"/>
      <c r="J288" s="50">
        <f t="shared" si="10"/>
        <v>0</v>
      </c>
      <c r="K288" s="49"/>
      <c r="L288" s="49"/>
      <c r="M288" s="49"/>
    </row>
    <row r="289" spans="2:13" x14ac:dyDescent="0.25">
      <c r="B289" s="71"/>
      <c r="C289" s="55" t="s">
        <v>111</v>
      </c>
      <c r="D289" s="56">
        <v>3610800</v>
      </c>
      <c r="E289" s="57" t="s">
        <v>639</v>
      </c>
      <c r="F289" s="58" t="s">
        <v>1174</v>
      </c>
      <c r="G289" s="56">
        <v>3610800</v>
      </c>
      <c r="H289" s="57" t="s">
        <v>639</v>
      </c>
      <c r="I289" s="49"/>
      <c r="J289" s="50">
        <f t="shared" si="10"/>
        <v>0</v>
      </c>
      <c r="K289" s="49"/>
      <c r="L289" s="49"/>
      <c r="M289" s="49"/>
    </row>
    <row r="290" spans="2:13" x14ac:dyDescent="0.25">
      <c r="B290" s="71"/>
      <c r="C290" s="55" t="s">
        <v>117</v>
      </c>
      <c r="D290" s="56">
        <v>300000</v>
      </c>
      <c r="E290" s="57" t="s">
        <v>639</v>
      </c>
      <c r="F290" s="58" t="s">
        <v>117</v>
      </c>
      <c r="G290" s="56">
        <v>300000</v>
      </c>
      <c r="H290" s="57" t="s">
        <v>639</v>
      </c>
      <c r="I290" s="49"/>
      <c r="J290" s="50">
        <f t="shared" si="10"/>
        <v>0</v>
      </c>
      <c r="K290" s="49"/>
      <c r="L290" s="49"/>
      <c r="M290" s="49"/>
    </row>
    <row r="291" spans="2:13" x14ac:dyDescent="0.25">
      <c r="B291" s="71"/>
      <c r="C291" s="55" t="s">
        <v>120</v>
      </c>
      <c r="D291" s="56">
        <v>1700000</v>
      </c>
      <c r="E291" s="57" t="s">
        <v>639</v>
      </c>
      <c r="F291" s="58" t="s">
        <v>1175</v>
      </c>
      <c r="G291" s="56">
        <v>1700000</v>
      </c>
      <c r="H291" s="57" t="s">
        <v>639</v>
      </c>
      <c r="I291" s="49"/>
      <c r="J291" s="50">
        <f t="shared" si="10"/>
        <v>0</v>
      </c>
      <c r="K291" s="49"/>
      <c r="L291" s="49"/>
      <c r="M291" s="49"/>
    </row>
    <row r="292" spans="2:13" s="79" customFormat="1" ht="23.25" x14ac:dyDescent="0.25">
      <c r="B292" s="115" t="s">
        <v>1176</v>
      </c>
      <c r="C292" s="74" t="s">
        <v>126</v>
      </c>
      <c r="D292" s="75">
        <v>0</v>
      </c>
      <c r="E292" s="76" t="s">
        <v>70</v>
      </c>
      <c r="F292" s="77" t="s">
        <v>126</v>
      </c>
      <c r="G292" s="75">
        <v>10000000</v>
      </c>
      <c r="H292" s="76" t="s">
        <v>70</v>
      </c>
      <c r="I292" s="73"/>
      <c r="J292" s="78">
        <f t="shared" si="10"/>
        <v>10000000</v>
      </c>
      <c r="K292" s="73"/>
      <c r="L292" s="73"/>
      <c r="M292" s="73"/>
    </row>
    <row r="293" spans="2:13" x14ac:dyDescent="0.25">
      <c r="B293" s="71"/>
      <c r="C293" s="55" t="s">
        <v>160</v>
      </c>
      <c r="D293" s="56">
        <v>5000000</v>
      </c>
      <c r="E293" s="57" t="s">
        <v>70</v>
      </c>
      <c r="F293" s="58" t="s">
        <v>160</v>
      </c>
      <c r="G293" s="56">
        <v>5000000</v>
      </c>
      <c r="H293" s="57" t="s">
        <v>70</v>
      </c>
      <c r="I293" s="49"/>
      <c r="J293" s="50">
        <f t="shared" si="10"/>
        <v>0</v>
      </c>
      <c r="K293" s="49"/>
      <c r="L293" s="49"/>
      <c r="M293" s="49"/>
    </row>
    <row r="294" spans="2:13" x14ac:dyDescent="0.25">
      <c r="B294" s="71"/>
      <c r="C294" s="55" t="s">
        <v>255</v>
      </c>
      <c r="D294" s="56">
        <v>4000000</v>
      </c>
      <c r="E294" s="57" t="s">
        <v>70</v>
      </c>
      <c r="F294" s="58" t="s">
        <v>1177</v>
      </c>
      <c r="G294" s="56">
        <v>4000000</v>
      </c>
      <c r="H294" s="57" t="s">
        <v>70</v>
      </c>
      <c r="I294" s="49"/>
      <c r="J294" s="50">
        <f t="shared" si="10"/>
        <v>0</v>
      </c>
      <c r="K294" s="49"/>
      <c r="L294" s="49"/>
      <c r="M294" s="49"/>
    </row>
    <row r="295" spans="2:13" s="79" customFormat="1" ht="23.25" x14ac:dyDescent="0.25">
      <c r="B295" s="115" t="s">
        <v>1176</v>
      </c>
      <c r="C295" s="77" t="s">
        <v>1178</v>
      </c>
      <c r="D295" s="75">
        <v>0</v>
      </c>
      <c r="E295" s="76" t="s">
        <v>70</v>
      </c>
      <c r="F295" s="77" t="s">
        <v>1178</v>
      </c>
      <c r="G295" s="75">
        <v>7000000</v>
      </c>
      <c r="H295" s="76" t="s">
        <v>70</v>
      </c>
      <c r="I295" s="73"/>
      <c r="J295" s="78">
        <f t="shared" si="10"/>
        <v>7000000</v>
      </c>
      <c r="K295" s="73"/>
      <c r="L295" s="73"/>
      <c r="M295" s="73"/>
    </row>
    <row r="296" spans="2:13" x14ac:dyDescent="0.25">
      <c r="B296" s="71"/>
      <c r="C296" s="55" t="s">
        <v>72</v>
      </c>
      <c r="D296" s="56">
        <v>15000000</v>
      </c>
      <c r="E296" s="57" t="s">
        <v>894</v>
      </c>
      <c r="F296" s="58" t="s">
        <v>1179</v>
      </c>
      <c r="G296" s="56">
        <v>15000000</v>
      </c>
      <c r="H296" s="57" t="s">
        <v>894</v>
      </c>
      <c r="I296" s="49"/>
      <c r="J296" s="50">
        <f t="shared" si="10"/>
        <v>0</v>
      </c>
      <c r="K296" s="49"/>
      <c r="L296" s="49"/>
      <c r="M296" s="49"/>
    </row>
    <row r="297" spans="2:13" x14ac:dyDescent="0.25">
      <c r="B297" s="71"/>
      <c r="C297" s="55" t="s">
        <v>111</v>
      </c>
      <c r="D297" s="56">
        <v>5384000</v>
      </c>
      <c r="E297" s="57" t="s">
        <v>894</v>
      </c>
      <c r="F297" s="58" t="s">
        <v>111</v>
      </c>
      <c r="G297" s="56">
        <v>5384000</v>
      </c>
      <c r="H297" s="57" t="s">
        <v>894</v>
      </c>
      <c r="I297" s="49"/>
      <c r="J297" s="50">
        <f t="shared" si="10"/>
        <v>0</v>
      </c>
      <c r="K297" s="49"/>
      <c r="L297" s="49"/>
      <c r="M297" s="49"/>
    </row>
    <row r="298" spans="2:13" x14ac:dyDescent="0.25">
      <c r="B298" s="71"/>
      <c r="C298" s="55" t="s">
        <v>114</v>
      </c>
      <c r="D298" s="56">
        <v>2616000</v>
      </c>
      <c r="E298" s="57" t="s">
        <v>894</v>
      </c>
      <c r="F298" s="58" t="s">
        <v>114</v>
      </c>
      <c r="G298" s="56">
        <v>2616000</v>
      </c>
      <c r="H298" s="57" t="s">
        <v>894</v>
      </c>
      <c r="I298" s="49"/>
      <c r="J298" s="50">
        <f t="shared" si="10"/>
        <v>0</v>
      </c>
      <c r="K298" s="49"/>
      <c r="L298" s="49"/>
      <c r="M298" s="49"/>
    </row>
    <row r="299" spans="2:13" x14ac:dyDescent="0.25">
      <c r="B299" s="71"/>
      <c r="C299" s="55" t="s">
        <v>123</v>
      </c>
      <c r="D299" s="56">
        <v>41540031</v>
      </c>
      <c r="E299" s="57" t="s">
        <v>896</v>
      </c>
      <c r="F299" s="58" t="s">
        <v>1180</v>
      </c>
      <c r="G299" s="56">
        <v>41540031</v>
      </c>
      <c r="H299" s="57" t="s">
        <v>896</v>
      </c>
      <c r="I299" s="49"/>
      <c r="J299" s="50">
        <f t="shared" si="10"/>
        <v>0</v>
      </c>
      <c r="K299" s="49"/>
      <c r="L299" s="49"/>
      <c r="M299" s="49"/>
    </row>
    <row r="300" spans="2:13" x14ac:dyDescent="0.25">
      <c r="B300" s="71"/>
      <c r="C300" s="55" t="s">
        <v>120</v>
      </c>
      <c r="D300" s="56">
        <v>1975000</v>
      </c>
      <c r="E300" s="57" t="s">
        <v>143</v>
      </c>
      <c r="F300" s="58" t="s">
        <v>120</v>
      </c>
      <c r="G300" s="56">
        <v>1975000</v>
      </c>
      <c r="H300" s="57" t="s">
        <v>143</v>
      </c>
      <c r="I300" s="49"/>
      <c r="J300" s="50">
        <f t="shared" si="10"/>
        <v>0</v>
      </c>
      <c r="K300" s="49"/>
      <c r="L300" s="49"/>
      <c r="M300" s="49"/>
    </row>
    <row r="301" spans="2:13" x14ac:dyDescent="0.25">
      <c r="B301" s="71"/>
      <c r="C301" s="55" t="s">
        <v>120</v>
      </c>
      <c r="D301" s="56">
        <v>372404248</v>
      </c>
      <c r="E301" s="57" t="s">
        <v>510</v>
      </c>
      <c r="F301" s="58" t="s">
        <v>120</v>
      </c>
      <c r="G301" s="56">
        <v>372404248</v>
      </c>
      <c r="H301" s="57" t="s">
        <v>510</v>
      </c>
      <c r="I301" s="49"/>
      <c r="J301" s="50">
        <f t="shared" si="10"/>
        <v>0</v>
      </c>
      <c r="K301" s="49"/>
      <c r="L301" s="49"/>
      <c r="M301" s="49"/>
    </row>
    <row r="302" spans="2:13" s="79" customFormat="1" x14ac:dyDescent="0.25">
      <c r="B302" s="254" t="s">
        <v>1209</v>
      </c>
      <c r="C302" s="74" t="s">
        <v>120</v>
      </c>
      <c r="D302" s="75">
        <v>120424847</v>
      </c>
      <c r="E302" s="76" t="s">
        <v>510</v>
      </c>
      <c r="F302" s="77" t="s">
        <v>120</v>
      </c>
      <c r="G302" s="75">
        <v>132843198</v>
      </c>
      <c r="H302" s="76" t="s">
        <v>510</v>
      </c>
      <c r="I302" s="73"/>
      <c r="J302" s="78">
        <f t="shared" si="10"/>
        <v>12418351</v>
      </c>
      <c r="K302" s="73"/>
      <c r="L302" s="73"/>
      <c r="M302" s="73"/>
    </row>
    <row r="303" spans="2:13" s="79" customFormat="1" x14ac:dyDescent="0.25">
      <c r="B303" s="254"/>
      <c r="C303" s="74" t="s">
        <v>120</v>
      </c>
      <c r="D303" s="75">
        <v>12418351</v>
      </c>
      <c r="E303" s="76" t="s">
        <v>510</v>
      </c>
      <c r="F303" s="77" t="s">
        <v>120</v>
      </c>
      <c r="G303" s="92"/>
      <c r="H303" s="76" t="s">
        <v>510</v>
      </c>
      <c r="I303" s="73" t="s">
        <v>1181</v>
      </c>
      <c r="J303" s="78">
        <f t="shared" si="10"/>
        <v>-12418351</v>
      </c>
      <c r="K303" s="73"/>
      <c r="L303" s="73"/>
      <c r="M303" s="73"/>
    </row>
    <row r="304" spans="2:13" x14ac:dyDescent="0.25">
      <c r="B304" s="71"/>
      <c r="C304" s="55" t="s">
        <v>120</v>
      </c>
      <c r="D304" s="56">
        <v>8568000</v>
      </c>
      <c r="E304" s="57" t="s">
        <v>510</v>
      </c>
      <c r="F304" s="58" t="s">
        <v>120</v>
      </c>
      <c r="G304" s="56">
        <v>8568000</v>
      </c>
      <c r="H304" s="57" t="s">
        <v>510</v>
      </c>
      <c r="I304" s="49"/>
      <c r="J304" s="50">
        <f t="shared" si="10"/>
        <v>0</v>
      </c>
      <c r="K304" s="49"/>
      <c r="L304" s="49"/>
      <c r="M304" s="49"/>
    </row>
    <row r="305" spans="2:13" x14ac:dyDescent="0.25">
      <c r="B305" s="71"/>
      <c r="C305" s="55" t="s">
        <v>810</v>
      </c>
      <c r="D305" s="56">
        <v>16044000</v>
      </c>
      <c r="E305" s="57" t="s">
        <v>904</v>
      </c>
      <c r="F305" s="55" t="s">
        <v>810</v>
      </c>
      <c r="G305" s="56">
        <v>16044000</v>
      </c>
      <c r="H305" s="57" t="s">
        <v>904</v>
      </c>
      <c r="I305" s="49"/>
      <c r="J305" s="50">
        <f t="shared" si="10"/>
        <v>0</v>
      </c>
      <c r="K305" s="49"/>
      <c r="L305" s="49"/>
      <c r="M305" s="49"/>
    </row>
    <row r="306" spans="2:13" x14ac:dyDescent="0.25">
      <c r="B306" s="71"/>
      <c r="C306" s="55" t="s">
        <v>664</v>
      </c>
      <c r="D306" s="56">
        <v>17000000</v>
      </c>
      <c r="E306" s="57" t="s">
        <v>894</v>
      </c>
      <c r="F306" s="58" t="s">
        <v>810</v>
      </c>
      <c r="G306" s="56">
        <v>17000000</v>
      </c>
      <c r="H306" s="57" t="s">
        <v>894</v>
      </c>
      <c r="I306" s="49"/>
      <c r="J306" s="50">
        <f t="shared" si="10"/>
        <v>0</v>
      </c>
      <c r="K306" s="49"/>
      <c r="L306" s="49"/>
      <c r="M306" s="49"/>
    </row>
    <row r="307" spans="2:13" x14ac:dyDescent="0.25">
      <c r="B307" s="71"/>
      <c r="C307" s="55" t="s">
        <v>126</v>
      </c>
      <c r="D307" s="56">
        <v>400000</v>
      </c>
      <c r="E307" s="57" t="s">
        <v>907</v>
      </c>
      <c r="F307" s="58" t="s">
        <v>664</v>
      </c>
      <c r="G307" s="56">
        <v>400000</v>
      </c>
      <c r="H307" s="57" t="s">
        <v>907</v>
      </c>
      <c r="I307" s="49"/>
      <c r="J307" s="50">
        <f t="shared" si="10"/>
        <v>0</v>
      </c>
      <c r="K307" s="49"/>
      <c r="L307" s="49"/>
      <c r="M307" s="49"/>
    </row>
    <row r="308" spans="2:13" x14ac:dyDescent="0.25">
      <c r="B308" s="71"/>
      <c r="C308" s="55" t="s">
        <v>117</v>
      </c>
      <c r="D308" s="56">
        <v>1000000</v>
      </c>
      <c r="E308" s="57" t="s">
        <v>907</v>
      </c>
      <c r="F308" s="58" t="s">
        <v>126</v>
      </c>
      <c r="G308" s="56">
        <v>1000000</v>
      </c>
      <c r="H308" s="57" t="s">
        <v>907</v>
      </c>
      <c r="I308" s="49"/>
      <c r="J308" s="50">
        <f t="shared" si="10"/>
        <v>0</v>
      </c>
      <c r="K308" s="49"/>
      <c r="L308" s="49"/>
      <c r="M308" s="49"/>
    </row>
    <row r="309" spans="2:13" s="47" customFormat="1" x14ac:dyDescent="0.25">
      <c r="B309" s="114" t="s">
        <v>1210</v>
      </c>
      <c r="C309" s="66" t="s">
        <v>123</v>
      </c>
      <c r="D309" s="67">
        <v>6100000</v>
      </c>
      <c r="E309" s="68" t="s">
        <v>910</v>
      </c>
      <c r="F309" s="69" t="s">
        <v>117</v>
      </c>
      <c r="G309" s="67">
        <v>4100000</v>
      </c>
      <c r="H309" s="68" t="s">
        <v>910</v>
      </c>
      <c r="I309" s="70"/>
      <c r="J309" s="82">
        <f t="shared" si="10"/>
        <v>-2000000</v>
      </c>
      <c r="K309" s="70"/>
      <c r="L309" s="70"/>
      <c r="M309" s="70"/>
    </row>
    <row r="310" spans="2:13" x14ac:dyDescent="0.25">
      <c r="B310" s="71"/>
      <c r="C310" s="55" t="s">
        <v>123</v>
      </c>
      <c r="D310" s="56">
        <v>50000000</v>
      </c>
      <c r="E310" s="57" t="s">
        <v>912</v>
      </c>
      <c r="F310" s="58" t="s">
        <v>123</v>
      </c>
      <c r="G310" s="56">
        <v>50000000</v>
      </c>
      <c r="H310" s="57" t="s">
        <v>912</v>
      </c>
      <c r="I310" s="49"/>
      <c r="J310" s="50">
        <f t="shared" si="10"/>
        <v>0</v>
      </c>
      <c r="K310" s="49"/>
      <c r="L310" s="49"/>
      <c r="M310" s="49"/>
    </row>
    <row r="311" spans="2:13" x14ac:dyDescent="0.25">
      <c r="B311" s="71"/>
      <c r="C311" s="55" t="s">
        <v>117</v>
      </c>
      <c r="D311" s="56">
        <v>5000000</v>
      </c>
      <c r="E311" s="57" t="s">
        <v>143</v>
      </c>
      <c r="F311" s="58" t="s">
        <v>123</v>
      </c>
      <c r="G311" s="56">
        <v>5000000</v>
      </c>
      <c r="H311" s="57" t="s">
        <v>143</v>
      </c>
      <c r="I311" s="49"/>
      <c r="J311" s="50">
        <f t="shared" si="10"/>
        <v>0</v>
      </c>
      <c r="K311" s="49"/>
      <c r="L311" s="49"/>
      <c r="M311" s="49"/>
    </row>
    <row r="312" spans="2:13" x14ac:dyDescent="0.25">
      <c r="B312" s="71"/>
      <c r="C312" s="55" t="s">
        <v>123</v>
      </c>
      <c r="D312" s="56">
        <v>51574210</v>
      </c>
      <c r="E312" s="57" t="s">
        <v>915</v>
      </c>
      <c r="F312" s="58" t="s">
        <v>1182</v>
      </c>
      <c r="G312" s="56">
        <v>51574210</v>
      </c>
      <c r="H312" s="57" t="s">
        <v>915</v>
      </c>
      <c r="I312" s="49"/>
      <c r="J312" s="50">
        <f t="shared" si="10"/>
        <v>0</v>
      </c>
      <c r="K312" s="49"/>
      <c r="L312" s="49"/>
      <c r="M312" s="49"/>
    </row>
    <row r="313" spans="2:13" x14ac:dyDescent="0.25">
      <c r="B313" s="71"/>
      <c r="C313" s="55" t="s">
        <v>78</v>
      </c>
      <c r="D313" s="56">
        <v>3226135</v>
      </c>
      <c r="E313" s="57" t="s">
        <v>917</v>
      </c>
      <c r="F313" s="58" t="s">
        <v>123</v>
      </c>
      <c r="G313" s="56">
        <v>3226135</v>
      </c>
      <c r="H313" s="57" t="s">
        <v>917</v>
      </c>
      <c r="I313" s="49"/>
      <c r="J313" s="50">
        <f t="shared" si="10"/>
        <v>0</v>
      </c>
      <c r="K313" s="49"/>
      <c r="L313" s="49"/>
      <c r="M313" s="49"/>
    </row>
    <row r="314" spans="2:13" x14ac:dyDescent="0.25">
      <c r="B314" s="71"/>
      <c r="C314" s="55" t="s">
        <v>126</v>
      </c>
      <c r="D314" s="56">
        <f>20000000-1280</f>
        <v>19998720</v>
      </c>
      <c r="E314" s="57" t="s">
        <v>919</v>
      </c>
      <c r="F314" s="58" t="s">
        <v>78</v>
      </c>
      <c r="G314" s="56">
        <f>20000000-1280</f>
        <v>19998720</v>
      </c>
      <c r="H314" s="57" t="s">
        <v>919</v>
      </c>
      <c r="I314" s="49"/>
      <c r="J314" s="50">
        <f t="shared" si="10"/>
        <v>0</v>
      </c>
      <c r="K314" s="49"/>
      <c r="L314" s="49"/>
      <c r="M314" s="49"/>
    </row>
    <row r="315" spans="2:13" x14ac:dyDescent="0.25">
      <c r="B315" s="71"/>
      <c r="C315" s="55" t="s">
        <v>123</v>
      </c>
      <c r="D315" s="56">
        <v>2002770</v>
      </c>
      <c r="E315" s="57" t="s">
        <v>922</v>
      </c>
      <c r="F315" s="58" t="s">
        <v>126</v>
      </c>
      <c r="G315" s="56">
        <v>2002770</v>
      </c>
      <c r="H315" s="57" t="s">
        <v>922</v>
      </c>
      <c r="I315" s="49"/>
      <c r="J315" s="50">
        <f t="shared" ref="J315:J346" si="11">G315-D315</f>
        <v>0</v>
      </c>
      <c r="K315" s="49"/>
      <c r="L315" s="49"/>
      <c r="M315" s="49"/>
    </row>
    <row r="316" spans="2:13" x14ac:dyDescent="0.25">
      <c r="B316" s="71"/>
      <c r="C316" s="55" t="s">
        <v>123</v>
      </c>
      <c r="D316" s="56">
        <v>13982500</v>
      </c>
      <c r="E316" s="57" t="s">
        <v>924</v>
      </c>
      <c r="F316" s="58" t="s">
        <v>123</v>
      </c>
      <c r="G316" s="56">
        <v>13982500</v>
      </c>
      <c r="H316" s="57" t="s">
        <v>924</v>
      </c>
      <c r="I316" s="49"/>
      <c r="J316" s="50">
        <f t="shared" si="11"/>
        <v>0</v>
      </c>
      <c r="K316" s="49"/>
      <c r="L316" s="49"/>
      <c r="M316" s="49"/>
    </row>
    <row r="317" spans="2:13" x14ac:dyDescent="0.25">
      <c r="B317" s="71"/>
      <c r="C317" s="55" t="s">
        <v>128</v>
      </c>
      <c r="D317" s="56">
        <v>22000000</v>
      </c>
      <c r="E317" s="57" t="s">
        <v>926</v>
      </c>
      <c r="F317" s="58" t="s">
        <v>123</v>
      </c>
      <c r="G317" s="56">
        <v>22000000</v>
      </c>
      <c r="H317" s="57" t="s">
        <v>926</v>
      </c>
      <c r="I317" s="49"/>
      <c r="J317" s="50">
        <f t="shared" si="11"/>
        <v>0</v>
      </c>
      <c r="K317" s="49"/>
      <c r="L317" s="49"/>
      <c r="M317" s="49"/>
    </row>
    <row r="318" spans="2:13" x14ac:dyDescent="0.25">
      <c r="B318" s="71"/>
      <c r="C318" s="55" t="s">
        <v>126</v>
      </c>
      <c r="D318" s="56">
        <v>5728000</v>
      </c>
      <c r="E318" s="57" t="s">
        <v>143</v>
      </c>
      <c r="F318" s="58" t="s">
        <v>128</v>
      </c>
      <c r="G318" s="56">
        <v>5728000</v>
      </c>
      <c r="H318" s="57" t="s">
        <v>143</v>
      </c>
      <c r="I318" s="49"/>
      <c r="J318" s="50">
        <f t="shared" si="11"/>
        <v>0</v>
      </c>
      <c r="K318" s="49"/>
      <c r="L318" s="49"/>
      <c r="M318" s="49"/>
    </row>
    <row r="319" spans="2:13" x14ac:dyDescent="0.25">
      <c r="B319" s="71"/>
      <c r="C319" s="55" t="s">
        <v>126</v>
      </c>
      <c r="D319" s="56">
        <v>4700000</v>
      </c>
      <c r="E319" s="57" t="s">
        <v>929</v>
      </c>
      <c r="F319" s="58" t="s">
        <v>126</v>
      </c>
      <c r="G319" s="56">
        <v>4700000</v>
      </c>
      <c r="H319" s="57" t="s">
        <v>929</v>
      </c>
      <c r="I319" s="49"/>
      <c r="J319" s="50">
        <f t="shared" si="11"/>
        <v>0</v>
      </c>
      <c r="K319" s="49"/>
      <c r="L319" s="49"/>
      <c r="M319" s="49"/>
    </row>
    <row r="320" spans="2:13" x14ac:dyDescent="0.25">
      <c r="B320" s="71"/>
      <c r="C320" s="55" t="s">
        <v>123</v>
      </c>
      <c r="D320" s="56">
        <v>51600000</v>
      </c>
      <c r="E320" s="57" t="s">
        <v>931</v>
      </c>
      <c r="F320" s="58" t="s">
        <v>126</v>
      </c>
      <c r="G320" s="56">
        <v>51600000</v>
      </c>
      <c r="H320" s="57" t="s">
        <v>931</v>
      </c>
      <c r="I320" s="49"/>
      <c r="J320" s="50">
        <f t="shared" si="11"/>
        <v>0</v>
      </c>
      <c r="K320" s="49"/>
      <c r="L320" s="49"/>
      <c r="M320" s="49"/>
    </row>
    <row r="321" spans="2:13" x14ac:dyDescent="0.25">
      <c r="B321" s="71"/>
      <c r="C321" s="55" t="s">
        <v>114</v>
      </c>
      <c r="D321" s="56">
        <f>45000000+25000000</f>
        <v>70000000</v>
      </c>
      <c r="E321" s="57" t="s">
        <v>933</v>
      </c>
      <c r="F321" s="58" t="s">
        <v>123</v>
      </c>
      <c r="G321" s="56">
        <f>45000000+25000000</f>
        <v>70000000</v>
      </c>
      <c r="H321" s="57" t="s">
        <v>933</v>
      </c>
      <c r="I321" s="49"/>
      <c r="J321" s="50">
        <f t="shared" si="11"/>
        <v>0</v>
      </c>
      <c r="K321" s="49"/>
      <c r="L321" s="49"/>
      <c r="M321" s="49"/>
    </row>
    <row r="322" spans="2:13" x14ac:dyDescent="0.25">
      <c r="B322" s="71"/>
      <c r="C322" s="55" t="s">
        <v>117</v>
      </c>
      <c r="D322" s="56">
        <v>100000000</v>
      </c>
      <c r="E322" s="57" t="s">
        <v>936</v>
      </c>
      <c r="F322" s="58" t="s">
        <v>114</v>
      </c>
      <c r="G322" s="56">
        <v>100000000</v>
      </c>
      <c r="H322" s="57" t="s">
        <v>936</v>
      </c>
      <c r="I322" s="49"/>
      <c r="J322" s="50">
        <f t="shared" si="11"/>
        <v>0</v>
      </c>
      <c r="K322" s="49"/>
      <c r="L322" s="49"/>
      <c r="M322" s="49"/>
    </row>
    <row r="323" spans="2:13" x14ac:dyDescent="0.25">
      <c r="B323" s="71"/>
      <c r="C323" s="55" t="s">
        <v>120</v>
      </c>
      <c r="D323" s="56">
        <v>372136713</v>
      </c>
      <c r="E323" s="57" t="s">
        <v>510</v>
      </c>
      <c r="F323" s="58" t="s">
        <v>1182</v>
      </c>
      <c r="G323" s="56">
        <v>372136713</v>
      </c>
      <c r="H323" s="57" t="s">
        <v>510</v>
      </c>
      <c r="I323" s="49"/>
      <c r="J323" s="50">
        <f t="shared" si="11"/>
        <v>0</v>
      </c>
      <c r="K323" s="49"/>
      <c r="L323" s="49"/>
      <c r="M323" s="49"/>
    </row>
    <row r="324" spans="2:13" x14ac:dyDescent="0.25">
      <c r="B324" s="71"/>
      <c r="C324" s="55" t="s">
        <v>120</v>
      </c>
      <c r="D324" s="56">
        <v>265686396</v>
      </c>
      <c r="E324" s="57" t="s">
        <v>510</v>
      </c>
      <c r="F324" s="58" t="s">
        <v>120</v>
      </c>
      <c r="G324" s="56">
        <v>265686396</v>
      </c>
      <c r="H324" s="57" t="s">
        <v>510</v>
      </c>
      <c r="I324" s="49"/>
      <c r="J324" s="50">
        <f t="shared" si="11"/>
        <v>0</v>
      </c>
      <c r="K324" s="49"/>
      <c r="L324" s="49"/>
      <c r="M324" s="49"/>
    </row>
    <row r="325" spans="2:13" x14ac:dyDescent="0.25">
      <c r="B325" s="71"/>
      <c r="C325" s="55" t="s">
        <v>120</v>
      </c>
      <c r="D325" s="56">
        <v>141220673</v>
      </c>
      <c r="E325" s="57" t="s">
        <v>510</v>
      </c>
      <c r="F325" s="58" t="s">
        <v>120</v>
      </c>
      <c r="G325" s="56">
        <v>141220673</v>
      </c>
      <c r="H325" s="57" t="s">
        <v>510</v>
      </c>
      <c r="I325" s="49"/>
      <c r="J325" s="50">
        <f t="shared" si="11"/>
        <v>0</v>
      </c>
      <c r="K325" s="49"/>
      <c r="L325" s="49"/>
      <c r="M325" s="49"/>
    </row>
    <row r="326" spans="2:13" x14ac:dyDescent="0.25">
      <c r="B326" s="71"/>
      <c r="C326" s="55" t="s">
        <v>128</v>
      </c>
      <c r="D326" s="56">
        <v>101400000</v>
      </c>
      <c r="E326" s="57" t="s">
        <v>942</v>
      </c>
      <c r="F326" s="58" t="s">
        <v>120</v>
      </c>
      <c r="G326" s="56">
        <v>101400000</v>
      </c>
      <c r="H326" s="57" t="s">
        <v>942</v>
      </c>
      <c r="I326" s="49"/>
      <c r="J326" s="50">
        <f t="shared" si="11"/>
        <v>0</v>
      </c>
      <c r="K326" s="49"/>
      <c r="L326" s="49"/>
      <c r="M326" s="49"/>
    </row>
    <row r="327" spans="2:13" x14ac:dyDescent="0.25">
      <c r="B327" s="71"/>
      <c r="C327" s="55" t="s">
        <v>128</v>
      </c>
      <c r="D327" s="56">
        <v>130000000</v>
      </c>
      <c r="E327" s="57" t="s">
        <v>944</v>
      </c>
      <c r="F327" s="58" t="s">
        <v>128</v>
      </c>
      <c r="G327" s="56">
        <v>130000000</v>
      </c>
      <c r="H327" s="57" t="s">
        <v>944</v>
      </c>
      <c r="I327" s="49"/>
      <c r="J327" s="50">
        <f t="shared" si="11"/>
        <v>0</v>
      </c>
      <c r="K327" s="49"/>
      <c r="L327" s="49"/>
      <c r="M327" s="49"/>
    </row>
    <row r="328" spans="2:13" x14ac:dyDescent="0.25">
      <c r="B328" s="71"/>
      <c r="C328" s="55" t="s">
        <v>123</v>
      </c>
      <c r="D328" s="56">
        <v>7000000</v>
      </c>
      <c r="E328" s="57" t="s">
        <v>946</v>
      </c>
      <c r="F328" s="58" t="s">
        <v>128</v>
      </c>
      <c r="G328" s="56">
        <v>7000000</v>
      </c>
      <c r="H328" s="57" t="s">
        <v>946</v>
      </c>
      <c r="I328" s="49"/>
      <c r="J328" s="50">
        <f t="shared" si="11"/>
        <v>0</v>
      </c>
      <c r="K328" s="49"/>
      <c r="L328" s="49"/>
      <c r="M328" s="49"/>
    </row>
    <row r="329" spans="2:13" x14ac:dyDescent="0.25">
      <c r="B329" s="71"/>
      <c r="C329" s="55" t="s">
        <v>111</v>
      </c>
      <c r="D329" s="56">
        <v>8635830</v>
      </c>
      <c r="E329" s="57" t="s">
        <v>948</v>
      </c>
      <c r="F329" s="58" t="s">
        <v>123</v>
      </c>
      <c r="G329" s="56">
        <v>8635830</v>
      </c>
      <c r="H329" s="57" t="s">
        <v>948</v>
      </c>
      <c r="I329" s="49"/>
      <c r="J329" s="50">
        <f t="shared" si="11"/>
        <v>0</v>
      </c>
      <c r="K329" s="49"/>
      <c r="L329" s="49"/>
      <c r="M329" s="49"/>
    </row>
    <row r="330" spans="2:13" x14ac:dyDescent="0.25">
      <c r="B330" s="71"/>
      <c r="C330" s="55" t="s">
        <v>950</v>
      </c>
      <c r="D330" s="56">
        <v>1740970</v>
      </c>
      <c r="E330" s="57" t="s">
        <v>948</v>
      </c>
      <c r="F330" s="58" t="s">
        <v>1183</v>
      </c>
      <c r="G330" s="56">
        <v>1740970</v>
      </c>
      <c r="H330" s="57" t="s">
        <v>948</v>
      </c>
      <c r="I330" s="49"/>
      <c r="J330" s="50">
        <f t="shared" si="11"/>
        <v>0</v>
      </c>
      <c r="K330" s="49"/>
      <c r="L330" s="49"/>
      <c r="M330" s="49"/>
    </row>
    <row r="331" spans="2:13" x14ac:dyDescent="0.25">
      <c r="B331" s="71"/>
      <c r="C331" s="55" t="s">
        <v>78</v>
      </c>
      <c r="D331" s="56">
        <v>3390310</v>
      </c>
      <c r="E331" s="57" t="s">
        <v>948</v>
      </c>
      <c r="F331" s="58" t="s">
        <v>1184</v>
      </c>
      <c r="G331" s="56">
        <v>3390310</v>
      </c>
      <c r="H331" s="57" t="s">
        <v>948</v>
      </c>
      <c r="I331" s="49"/>
      <c r="J331" s="50">
        <f t="shared" si="11"/>
        <v>0</v>
      </c>
      <c r="K331" s="49"/>
      <c r="L331" s="49"/>
      <c r="M331" s="49"/>
    </row>
    <row r="332" spans="2:13" x14ac:dyDescent="0.25">
      <c r="B332" s="71"/>
      <c r="C332" s="55" t="s">
        <v>114</v>
      </c>
      <c r="D332" s="56">
        <v>4686220</v>
      </c>
      <c r="E332" s="57" t="s">
        <v>948</v>
      </c>
      <c r="F332" s="58" t="s">
        <v>1185</v>
      </c>
      <c r="G332" s="56">
        <v>4686220</v>
      </c>
      <c r="H332" s="57" t="s">
        <v>948</v>
      </c>
      <c r="I332" s="49"/>
      <c r="J332" s="50">
        <f t="shared" si="11"/>
        <v>0</v>
      </c>
      <c r="K332" s="49"/>
      <c r="L332" s="49"/>
      <c r="M332" s="49"/>
    </row>
    <row r="333" spans="2:13" x14ac:dyDescent="0.25">
      <c r="B333" s="71"/>
      <c r="C333" s="55" t="s">
        <v>123</v>
      </c>
      <c r="D333" s="56">
        <v>45000000</v>
      </c>
      <c r="E333" s="57" t="s">
        <v>953</v>
      </c>
      <c r="F333" s="58" t="s">
        <v>114</v>
      </c>
      <c r="G333" s="56">
        <v>45000000</v>
      </c>
      <c r="H333" s="57" t="s">
        <v>953</v>
      </c>
      <c r="I333" s="49"/>
      <c r="J333" s="50">
        <f t="shared" si="11"/>
        <v>0</v>
      </c>
      <c r="K333" s="49"/>
      <c r="L333" s="49"/>
      <c r="M333" s="49"/>
    </row>
    <row r="334" spans="2:13" x14ac:dyDescent="0.25">
      <c r="B334" s="71"/>
      <c r="C334" s="55" t="s">
        <v>160</v>
      </c>
      <c r="D334" s="56">
        <v>2000000</v>
      </c>
      <c r="E334" s="57" t="s">
        <v>955</v>
      </c>
      <c r="F334" s="58" t="s">
        <v>123</v>
      </c>
      <c r="G334" s="56">
        <v>2000000</v>
      </c>
      <c r="H334" s="57" t="s">
        <v>955</v>
      </c>
      <c r="I334" s="49"/>
      <c r="J334" s="50">
        <f t="shared" si="11"/>
        <v>0</v>
      </c>
      <c r="K334" s="49"/>
      <c r="L334" s="49"/>
      <c r="M334" s="49"/>
    </row>
    <row r="335" spans="2:13" x14ac:dyDescent="0.25">
      <c r="B335" s="71"/>
      <c r="C335" s="55" t="s">
        <v>111</v>
      </c>
      <c r="D335" s="56">
        <v>23000000</v>
      </c>
      <c r="E335" s="57" t="s">
        <v>955</v>
      </c>
      <c r="F335" s="58" t="s">
        <v>160</v>
      </c>
      <c r="G335" s="56">
        <v>23000000</v>
      </c>
      <c r="H335" s="57" t="s">
        <v>955</v>
      </c>
      <c r="I335" s="49"/>
      <c r="J335" s="50">
        <f t="shared" si="11"/>
        <v>0</v>
      </c>
      <c r="K335" s="49"/>
      <c r="L335" s="49"/>
      <c r="M335" s="49"/>
    </row>
    <row r="336" spans="2:13" x14ac:dyDescent="0.25">
      <c r="B336" s="71"/>
      <c r="C336" s="55" t="s">
        <v>114</v>
      </c>
      <c r="D336" s="56">
        <v>60000000</v>
      </c>
      <c r="E336" s="57" t="s">
        <v>955</v>
      </c>
      <c r="F336" s="58" t="s">
        <v>111</v>
      </c>
      <c r="G336" s="56">
        <v>60000000</v>
      </c>
      <c r="H336" s="57" t="s">
        <v>955</v>
      </c>
      <c r="I336" s="49"/>
      <c r="J336" s="50">
        <f t="shared" si="11"/>
        <v>0</v>
      </c>
      <c r="K336" s="49"/>
      <c r="L336" s="49"/>
      <c r="M336" s="49"/>
    </row>
    <row r="337" spans="2:13" x14ac:dyDescent="0.25">
      <c r="B337" s="71"/>
      <c r="C337" s="55" t="s">
        <v>123</v>
      </c>
      <c r="D337" s="56">
        <v>15278410</v>
      </c>
      <c r="E337" s="57" t="s">
        <v>957</v>
      </c>
      <c r="F337" s="58" t="s">
        <v>114</v>
      </c>
      <c r="G337" s="56">
        <v>15278410</v>
      </c>
      <c r="H337" s="57" t="s">
        <v>957</v>
      </c>
      <c r="I337" s="49"/>
      <c r="J337" s="50">
        <f t="shared" si="11"/>
        <v>0</v>
      </c>
      <c r="K337" s="49"/>
      <c r="L337" s="49"/>
      <c r="M337" s="49"/>
    </row>
    <row r="338" spans="2:13" x14ac:dyDescent="0.25">
      <c r="B338" s="71"/>
      <c r="C338" s="55" t="s">
        <v>123</v>
      </c>
      <c r="D338" s="56">
        <v>23931376</v>
      </c>
      <c r="E338" s="57" t="s">
        <v>959</v>
      </c>
      <c r="F338" s="58" t="s">
        <v>123</v>
      </c>
      <c r="G338" s="56">
        <v>23931376</v>
      </c>
      <c r="H338" s="57" t="s">
        <v>959</v>
      </c>
      <c r="I338" s="49"/>
      <c r="J338" s="50">
        <f t="shared" si="11"/>
        <v>0</v>
      </c>
      <c r="K338" s="49"/>
      <c r="L338" s="49"/>
      <c r="M338" s="49"/>
    </row>
    <row r="339" spans="2:13" x14ac:dyDescent="0.25">
      <c r="B339" s="71"/>
      <c r="C339" s="55" t="s">
        <v>126</v>
      </c>
      <c r="D339" s="56">
        <f>70000000-49000000</f>
        <v>21000000</v>
      </c>
      <c r="E339" s="57" t="s">
        <v>961</v>
      </c>
      <c r="F339" s="58" t="s">
        <v>123</v>
      </c>
      <c r="G339" s="56">
        <f>70000000-49000000</f>
        <v>21000000</v>
      </c>
      <c r="H339" s="57" t="s">
        <v>961</v>
      </c>
      <c r="I339" s="49"/>
      <c r="J339" s="50">
        <f t="shared" si="11"/>
        <v>0</v>
      </c>
      <c r="K339" s="49"/>
      <c r="L339" s="49"/>
      <c r="M339" s="49"/>
    </row>
    <row r="340" spans="2:13" x14ac:dyDescent="0.25">
      <c r="B340" s="71"/>
      <c r="C340" s="55" t="s">
        <v>962</v>
      </c>
      <c r="D340" s="56">
        <v>120583031</v>
      </c>
      <c r="E340" s="57" t="s">
        <v>965</v>
      </c>
      <c r="F340" s="58" t="s">
        <v>126</v>
      </c>
      <c r="G340" s="56">
        <v>120583031</v>
      </c>
      <c r="H340" s="57" t="s">
        <v>965</v>
      </c>
      <c r="I340" s="49"/>
      <c r="J340" s="50">
        <f t="shared" si="11"/>
        <v>0</v>
      </c>
      <c r="K340" s="49"/>
      <c r="L340" s="49"/>
      <c r="M340" s="49"/>
    </row>
    <row r="341" spans="2:13" x14ac:dyDescent="0.25">
      <c r="B341" s="71"/>
      <c r="C341" s="55" t="s">
        <v>962</v>
      </c>
      <c r="D341" s="56">
        <v>1575000</v>
      </c>
      <c r="E341" s="57" t="s">
        <v>967</v>
      </c>
      <c r="F341" s="58" t="s">
        <v>962</v>
      </c>
      <c r="G341" s="56">
        <v>1575000</v>
      </c>
      <c r="H341" s="57" t="s">
        <v>967</v>
      </c>
      <c r="I341" s="49"/>
      <c r="J341" s="50">
        <f t="shared" si="11"/>
        <v>0</v>
      </c>
      <c r="K341" s="49"/>
      <c r="L341" s="49"/>
      <c r="M341" s="49"/>
    </row>
    <row r="342" spans="2:13" x14ac:dyDescent="0.25">
      <c r="B342" s="71"/>
      <c r="C342" s="55" t="s">
        <v>84</v>
      </c>
      <c r="D342" s="56">
        <v>6380000</v>
      </c>
      <c r="E342" s="57" t="s">
        <v>967</v>
      </c>
      <c r="F342" s="58" t="s">
        <v>962</v>
      </c>
      <c r="G342" s="56">
        <v>6380000</v>
      </c>
      <c r="H342" s="57" t="s">
        <v>967</v>
      </c>
      <c r="I342" s="49"/>
      <c r="J342" s="50">
        <f t="shared" si="11"/>
        <v>0</v>
      </c>
      <c r="K342" s="49"/>
      <c r="L342" s="49"/>
      <c r="M342" s="49"/>
    </row>
    <row r="343" spans="2:13" x14ac:dyDescent="0.25">
      <c r="B343" s="71"/>
      <c r="C343" s="55" t="s">
        <v>114</v>
      </c>
      <c r="D343" s="56">
        <v>1235000</v>
      </c>
      <c r="E343" s="57" t="s">
        <v>967</v>
      </c>
      <c r="F343" s="58" t="s">
        <v>84</v>
      </c>
      <c r="G343" s="56">
        <v>1235000</v>
      </c>
      <c r="H343" s="57" t="s">
        <v>967</v>
      </c>
      <c r="I343" s="49"/>
      <c r="J343" s="50">
        <f t="shared" si="11"/>
        <v>0</v>
      </c>
      <c r="K343" s="49"/>
      <c r="L343" s="49"/>
      <c r="M343" s="49"/>
    </row>
    <row r="344" spans="2:13" x14ac:dyDescent="0.25">
      <c r="B344" s="71"/>
      <c r="C344" s="55" t="s">
        <v>128</v>
      </c>
      <c r="D344" s="56">
        <v>4015800</v>
      </c>
      <c r="E344" s="57" t="s">
        <v>971</v>
      </c>
      <c r="F344" s="58" t="s">
        <v>114</v>
      </c>
      <c r="G344" s="56">
        <v>4015800</v>
      </c>
      <c r="H344" s="57" t="s">
        <v>971</v>
      </c>
      <c r="I344" s="49"/>
      <c r="J344" s="50">
        <f t="shared" si="11"/>
        <v>0</v>
      </c>
      <c r="K344" s="49"/>
      <c r="L344" s="49"/>
      <c r="M344" s="49"/>
    </row>
    <row r="345" spans="2:13" x14ac:dyDescent="0.25">
      <c r="B345" s="71"/>
      <c r="C345" s="55" t="s">
        <v>126</v>
      </c>
      <c r="D345" s="56">
        <v>14800000</v>
      </c>
      <c r="E345" s="57" t="s">
        <v>973</v>
      </c>
      <c r="F345" s="58" t="s">
        <v>128</v>
      </c>
      <c r="G345" s="56">
        <v>14800000</v>
      </c>
      <c r="H345" s="57" t="s">
        <v>973</v>
      </c>
      <c r="I345" s="49"/>
      <c r="J345" s="50">
        <f t="shared" si="11"/>
        <v>0</v>
      </c>
      <c r="K345" s="49"/>
      <c r="L345" s="49"/>
      <c r="M345" s="49"/>
    </row>
    <row r="346" spans="2:13" x14ac:dyDescent="0.25">
      <c r="B346" s="71"/>
      <c r="C346" s="55" t="s">
        <v>120</v>
      </c>
      <c r="D346" s="56">
        <v>234063</v>
      </c>
      <c r="E346" s="57" t="s">
        <v>143</v>
      </c>
      <c r="F346" s="58" t="s">
        <v>126</v>
      </c>
      <c r="G346" s="56">
        <v>234063</v>
      </c>
      <c r="H346" s="57" t="s">
        <v>143</v>
      </c>
      <c r="I346" s="49"/>
      <c r="J346" s="50">
        <f t="shared" si="11"/>
        <v>0</v>
      </c>
      <c r="K346" s="49"/>
      <c r="L346" s="49"/>
      <c r="M346" s="49"/>
    </row>
    <row r="347" spans="2:13" x14ac:dyDescent="0.25">
      <c r="B347" s="71"/>
      <c r="C347" s="55" t="s">
        <v>123</v>
      </c>
      <c r="D347" s="56">
        <v>3500000</v>
      </c>
      <c r="E347" s="57" t="s">
        <v>976</v>
      </c>
      <c r="F347" s="58" t="s">
        <v>120</v>
      </c>
      <c r="G347" s="56">
        <v>3500000</v>
      </c>
      <c r="H347" s="57" t="s">
        <v>976</v>
      </c>
      <c r="I347" s="49"/>
      <c r="J347" s="50">
        <f t="shared" ref="J347:J378" si="12">G347-D347</f>
        <v>0</v>
      </c>
      <c r="K347" s="49"/>
      <c r="L347" s="49"/>
      <c r="M347" s="49"/>
    </row>
    <row r="348" spans="2:13" x14ac:dyDescent="0.25">
      <c r="B348" s="71"/>
      <c r="C348" s="55" t="s">
        <v>950</v>
      </c>
      <c r="D348" s="56">
        <v>700000</v>
      </c>
      <c r="E348" s="57" t="s">
        <v>639</v>
      </c>
      <c r="F348" s="58" t="s">
        <v>123</v>
      </c>
      <c r="G348" s="56">
        <v>700000</v>
      </c>
      <c r="H348" s="57" t="s">
        <v>639</v>
      </c>
      <c r="I348" s="49"/>
      <c r="J348" s="50">
        <f t="shared" si="12"/>
        <v>0</v>
      </c>
      <c r="K348" s="49"/>
      <c r="L348" s="49"/>
      <c r="M348" s="49"/>
    </row>
    <row r="349" spans="2:13" x14ac:dyDescent="0.25">
      <c r="B349" s="71"/>
      <c r="C349" s="55" t="s">
        <v>111</v>
      </c>
      <c r="D349" s="56">
        <v>14035335</v>
      </c>
      <c r="E349" s="57" t="s">
        <v>979</v>
      </c>
      <c r="F349" s="58" t="s">
        <v>1184</v>
      </c>
      <c r="G349" s="56">
        <v>14035335</v>
      </c>
      <c r="H349" s="57" t="s">
        <v>979</v>
      </c>
      <c r="I349" s="49"/>
      <c r="J349" s="50">
        <f t="shared" si="12"/>
        <v>0</v>
      </c>
      <c r="K349" s="49"/>
      <c r="L349" s="49"/>
      <c r="M349" s="49"/>
    </row>
    <row r="350" spans="2:13" x14ac:dyDescent="0.25">
      <c r="B350" s="71"/>
      <c r="C350" s="55" t="s">
        <v>111</v>
      </c>
      <c r="D350" s="56">
        <v>128152783</v>
      </c>
      <c r="E350" s="57" t="s">
        <v>982</v>
      </c>
      <c r="F350" s="58" t="s">
        <v>111</v>
      </c>
      <c r="G350" s="56">
        <v>128152783</v>
      </c>
      <c r="H350" s="57" t="s">
        <v>982</v>
      </c>
      <c r="I350" s="49"/>
      <c r="J350" s="50">
        <f t="shared" si="12"/>
        <v>0</v>
      </c>
      <c r="K350" s="49"/>
      <c r="L350" s="49"/>
      <c r="M350" s="49"/>
    </row>
    <row r="351" spans="2:13" x14ac:dyDescent="0.25">
      <c r="B351" s="71"/>
      <c r="C351" s="55" t="s">
        <v>123</v>
      </c>
      <c r="D351" s="56">
        <f>239161806 - 19188274.4718464</f>
        <v>219973531.5281536</v>
      </c>
      <c r="E351" s="57" t="s">
        <v>984</v>
      </c>
      <c r="F351" s="58" t="s">
        <v>111</v>
      </c>
      <c r="G351" s="56">
        <f>239161806 - 19188274.4718464</f>
        <v>219973531.5281536</v>
      </c>
      <c r="H351" s="57" t="s">
        <v>984</v>
      </c>
      <c r="I351" s="49"/>
      <c r="J351" s="50">
        <f t="shared" si="12"/>
        <v>0</v>
      </c>
      <c r="K351" s="49"/>
      <c r="L351" s="49"/>
      <c r="M351" s="49"/>
    </row>
    <row r="352" spans="2:13" x14ac:dyDescent="0.25">
      <c r="B352" s="71"/>
      <c r="C352" s="55" t="s">
        <v>123</v>
      </c>
      <c r="D352" s="56">
        <v>53302274</v>
      </c>
      <c r="E352" s="57" t="s">
        <v>984</v>
      </c>
      <c r="F352" s="58" t="s">
        <v>123</v>
      </c>
      <c r="G352" s="56">
        <v>53302274</v>
      </c>
      <c r="H352" s="57" t="s">
        <v>984</v>
      </c>
      <c r="I352" s="49"/>
      <c r="J352" s="50">
        <f t="shared" si="12"/>
        <v>0</v>
      </c>
      <c r="K352" s="49"/>
      <c r="L352" s="49"/>
      <c r="M352" s="49"/>
    </row>
    <row r="353" spans="2:13" x14ac:dyDescent="0.25">
      <c r="B353" s="71"/>
      <c r="C353" s="55" t="s">
        <v>123</v>
      </c>
      <c r="D353" s="56">
        <v>93564000</v>
      </c>
      <c r="E353" s="57" t="s">
        <v>985</v>
      </c>
      <c r="F353" s="58" t="s">
        <v>123</v>
      </c>
      <c r="G353" s="56">
        <v>93564000</v>
      </c>
      <c r="H353" s="57" t="s">
        <v>985</v>
      </c>
      <c r="I353" s="49"/>
      <c r="J353" s="50">
        <f t="shared" si="12"/>
        <v>0</v>
      </c>
      <c r="K353" s="49"/>
      <c r="L353" s="49"/>
      <c r="M353" s="49"/>
    </row>
    <row r="354" spans="2:13" x14ac:dyDescent="0.25">
      <c r="B354" s="71"/>
      <c r="C354" s="55" t="s">
        <v>126</v>
      </c>
      <c r="D354" s="56">
        <v>73500000</v>
      </c>
      <c r="E354" s="57" t="s">
        <v>987</v>
      </c>
      <c r="F354" s="58" t="s">
        <v>123</v>
      </c>
      <c r="G354" s="56">
        <v>73500000</v>
      </c>
      <c r="H354" s="57" t="s">
        <v>987</v>
      </c>
      <c r="I354" s="49"/>
      <c r="J354" s="50">
        <f t="shared" si="12"/>
        <v>0</v>
      </c>
      <c r="K354" s="49"/>
      <c r="L354" s="49"/>
      <c r="M354" s="49"/>
    </row>
    <row r="355" spans="2:13" x14ac:dyDescent="0.25">
      <c r="B355" s="71"/>
      <c r="C355" s="55" t="s">
        <v>111</v>
      </c>
      <c r="D355" s="56">
        <v>37615900</v>
      </c>
      <c r="E355" s="57" t="s">
        <v>989</v>
      </c>
      <c r="F355" s="58" t="s">
        <v>126</v>
      </c>
      <c r="G355" s="56">
        <v>37615900</v>
      </c>
      <c r="H355" s="57" t="s">
        <v>989</v>
      </c>
      <c r="I355" s="49"/>
      <c r="J355" s="50">
        <f t="shared" si="12"/>
        <v>0</v>
      </c>
      <c r="K355" s="49"/>
      <c r="L355" s="49"/>
      <c r="M355" s="49"/>
    </row>
    <row r="356" spans="2:13" x14ac:dyDescent="0.25">
      <c r="B356" s="71"/>
      <c r="C356" s="55" t="s">
        <v>756</v>
      </c>
      <c r="D356" s="56">
        <v>10472000</v>
      </c>
      <c r="E356" s="57" t="s">
        <v>991</v>
      </c>
      <c r="F356" s="58" t="s">
        <v>111</v>
      </c>
      <c r="G356" s="56">
        <v>10472000</v>
      </c>
      <c r="H356" s="57" t="s">
        <v>991</v>
      </c>
      <c r="I356" s="49"/>
      <c r="J356" s="50">
        <f t="shared" si="12"/>
        <v>0</v>
      </c>
      <c r="K356" s="49"/>
      <c r="L356" s="49"/>
      <c r="M356" s="49"/>
    </row>
    <row r="357" spans="2:13" x14ac:dyDescent="0.25">
      <c r="B357" s="71"/>
      <c r="C357" s="55" t="s">
        <v>117</v>
      </c>
      <c r="D357" s="56">
        <v>151265513</v>
      </c>
      <c r="E357" s="57" t="s">
        <v>994</v>
      </c>
      <c r="F357" s="58" t="s">
        <v>756</v>
      </c>
      <c r="G357" s="56">
        <v>151265513</v>
      </c>
      <c r="H357" s="57" t="s">
        <v>994</v>
      </c>
      <c r="I357" s="49"/>
      <c r="J357" s="50">
        <f t="shared" si="12"/>
        <v>0</v>
      </c>
      <c r="K357" s="49"/>
      <c r="L357" s="49"/>
      <c r="M357" s="49"/>
    </row>
    <row r="358" spans="2:13" x14ac:dyDescent="0.25">
      <c r="B358" s="71"/>
      <c r="C358" s="55" t="s">
        <v>126</v>
      </c>
      <c r="D358" s="56">
        <f>12000000+13400000</f>
        <v>25400000</v>
      </c>
      <c r="E358" s="57" t="s">
        <v>996</v>
      </c>
      <c r="F358" s="58" t="s">
        <v>117</v>
      </c>
      <c r="G358" s="56">
        <f>12000000+13400000</f>
        <v>25400000</v>
      </c>
      <c r="H358" s="57" t="s">
        <v>996</v>
      </c>
      <c r="I358" s="49"/>
      <c r="J358" s="50">
        <f t="shared" si="12"/>
        <v>0</v>
      </c>
      <c r="K358" s="49"/>
      <c r="L358" s="49"/>
      <c r="M358" s="49"/>
    </row>
    <row r="359" spans="2:13" x14ac:dyDescent="0.25">
      <c r="B359" s="71"/>
      <c r="C359" s="55" t="s">
        <v>111</v>
      </c>
      <c r="D359" s="56">
        <v>1898347</v>
      </c>
      <c r="E359" s="57" t="s">
        <v>998</v>
      </c>
      <c r="F359" s="58" t="s">
        <v>126</v>
      </c>
      <c r="G359" s="56">
        <v>1898347</v>
      </c>
      <c r="H359" s="57" t="s">
        <v>998</v>
      </c>
      <c r="I359" s="49"/>
      <c r="J359" s="50">
        <f t="shared" si="12"/>
        <v>0</v>
      </c>
      <c r="K359" s="49"/>
      <c r="L359" s="49"/>
      <c r="M359" s="49"/>
    </row>
    <row r="360" spans="2:13" x14ac:dyDescent="0.25">
      <c r="B360" s="71"/>
      <c r="C360" s="55" t="s">
        <v>128</v>
      </c>
      <c r="D360" s="56">
        <f>1011262+1087465</f>
        <v>2098727</v>
      </c>
      <c r="E360" s="57" t="s">
        <v>998</v>
      </c>
      <c r="F360" s="58" t="s">
        <v>111</v>
      </c>
      <c r="G360" s="56">
        <f>1011262+1087465</f>
        <v>2098727</v>
      </c>
      <c r="H360" s="57" t="s">
        <v>998</v>
      </c>
      <c r="I360" s="49"/>
      <c r="J360" s="50">
        <f t="shared" si="12"/>
        <v>0</v>
      </c>
      <c r="K360" s="49"/>
      <c r="L360" s="49"/>
      <c r="M360" s="49"/>
    </row>
    <row r="361" spans="2:13" x14ac:dyDescent="0.25">
      <c r="B361" s="71"/>
      <c r="C361" s="55" t="s">
        <v>126</v>
      </c>
      <c r="D361" s="56">
        <v>1100000</v>
      </c>
      <c r="E361" s="57" t="s">
        <v>143</v>
      </c>
      <c r="F361" s="58" t="s">
        <v>128</v>
      </c>
      <c r="G361" s="56">
        <v>1100000</v>
      </c>
      <c r="H361" s="57" t="s">
        <v>143</v>
      </c>
      <c r="I361" s="49"/>
      <c r="J361" s="50">
        <f t="shared" si="12"/>
        <v>0</v>
      </c>
      <c r="K361" s="49"/>
      <c r="L361" s="49"/>
      <c r="M361" s="49"/>
    </row>
    <row r="362" spans="2:13" x14ac:dyDescent="0.25">
      <c r="B362" s="71"/>
      <c r="C362" s="55" t="s">
        <v>111</v>
      </c>
      <c r="D362" s="56">
        <f>7000000+2491098+67652</f>
        <v>9558750</v>
      </c>
      <c r="E362" s="57" t="s">
        <v>1002</v>
      </c>
      <c r="F362" s="58" t="s">
        <v>126</v>
      </c>
      <c r="G362" s="56">
        <f>7000000+2491098+67652</f>
        <v>9558750</v>
      </c>
      <c r="H362" s="57" t="s">
        <v>1002</v>
      </c>
      <c r="I362" s="49"/>
      <c r="J362" s="50">
        <f t="shared" si="12"/>
        <v>0</v>
      </c>
      <c r="K362" s="49"/>
      <c r="L362" s="49"/>
      <c r="M362" s="49"/>
    </row>
    <row r="363" spans="2:13" x14ac:dyDescent="0.25">
      <c r="B363" s="71"/>
      <c r="C363" s="55" t="s">
        <v>128</v>
      </c>
      <c r="D363" s="56">
        <f>588839-588839</f>
        <v>0</v>
      </c>
      <c r="E363" s="57" t="s">
        <v>1002</v>
      </c>
      <c r="F363" s="58" t="s">
        <v>111</v>
      </c>
      <c r="G363" s="56">
        <f>588839-588839</f>
        <v>0</v>
      </c>
      <c r="H363" s="57" t="s">
        <v>1002</v>
      </c>
      <c r="I363" s="49"/>
      <c r="J363" s="50">
        <f t="shared" si="12"/>
        <v>0</v>
      </c>
      <c r="K363" s="49"/>
      <c r="L363" s="49"/>
      <c r="M363" s="49"/>
    </row>
    <row r="364" spans="2:13" x14ac:dyDescent="0.25">
      <c r="B364" s="71"/>
      <c r="C364" s="55" t="s">
        <v>114</v>
      </c>
      <c r="D364" s="56">
        <f>8000000-5455536</f>
        <v>2544464</v>
      </c>
      <c r="E364" s="57" t="s">
        <v>1002</v>
      </c>
      <c r="F364" s="58" t="s">
        <v>128</v>
      </c>
      <c r="G364" s="56">
        <f>8000000-5455536</f>
        <v>2544464</v>
      </c>
      <c r="H364" s="57" t="s">
        <v>1002</v>
      </c>
      <c r="I364" s="49"/>
      <c r="J364" s="50">
        <f t="shared" si="12"/>
        <v>0</v>
      </c>
      <c r="K364" s="49"/>
      <c r="L364" s="49"/>
      <c r="M364" s="49"/>
    </row>
    <row r="365" spans="2:13" x14ac:dyDescent="0.25">
      <c r="B365" s="71"/>
      <c r="C365" s="55" t="s">
        <v>1003</v>
      </c>
      <c r="D365" s="56">
        <v>2486025</v>
      </c>
      <c r="E365" s="57" t="s">
        <v>1002</v>
      </c>
      <c r="F365" s="58" t="s">
        <v>114</v>
      </c>
      <c r="G365" s="56">
        <v>2486025</v>
      </c>
      <c r="H365" s="57" t="s">
        <v>1002</v>
      </c>
      <c r="I365" s="49"/>
      <c r="J365" s="50">
        <f t="shared" si="12"/>
        <v>0</v>
      </c>
      <c r="K365" s="49"/>
      <c r="L365" s="49"/>
      <c r="M365" s="49"/>
    </row>
    <row r="366" spans="2:13" x14ac:dyDescent="0.25">
      <c r="B366" s="71"/>
      <c r="C366" s="55" t="s">
        <v>1005</v>
      </c>
      <c r="D366" s="56">
        <v>999600</v>
      </c>
      <c r="E366" s="57" t="s">
        <v>1002</v>
      </c>
      <c r="F366" s="58" t="s">
        <v>1003</v>
      </c>
      <c r="G366" s="56">
        <v>999600</v>
      </c>
      <c r="H366" s="57" t="s">
        <v>1002</v>
      </c>
      <c r="I366" s="49"/>
      <c r="J366" s="50">
        <f t="shared" si="12"/>
        <v>0</v>
      </c>
      <c r="K366" s="49"/>
      <c r="L366" s="49"/>
      <c r="M366" s="49"/>
    </row>
    <row r="367" spans="2:13" x14ac:dyDescent="0.25">
      <c r="B367" s="71"/>
      <c r="C367" s="55" t="s">
        <v>111</v>
      </c>
      <c r="D367" s="56">
        <v>7000000</v>
      </c>
      <c r="E367" s="57" t="s">
        <v>1008</v>
      </c>
      <c r="F367" s="58" t="s">
        <v>1005</v>
      </c>
      <c r="G367" s="56">
        <v>7000000</v>
      </c>
      <c r="H367" s="57" t="s">
        <v>1008</v>
      </c>
      <c r="I367" s="49"/>
      <c r="J367" s="50">
        <f t="shared" si="12"/>
        <v>0</v>
      </c>
      <c r="K367" s="49"/>
      <c r="L367" s="49"/>
      <c r="M367" s="49"/>
    </row>
    <row r="368" spans="2:13" x14ac:dyDescent="0.25">
      <c r="B368" s="71"/>
      <c r="C368" s="55" t="s">
        <v>128</v>
      </c>
      <c r="D368" s="56">
        <v>600000</v>
      </c>
      <c r="E368" s="57" t="s">
        <v>1008</v>
      </c>
      <c r="F368" s="58" t="s">
        <v>111</v>
      </c>
      <c r="G368" s="56">
        <v>600000</v>
      </c>
      <c r="H368" s="57" t="s">
        <v>1008</v>
      </c>
      <c r="I368" s="49"/>
      <c r="J368" s="50">
        <f t="shared" si="12"/>
        <v>0</v>
      </c>
      <c r="K368" s="49"/>
      <c r="L368" s="49"/>
      <c r="M368" s="49"/>
    </row>
    <row r="369" spans="2:13" x14ac:dyDescent="0.25">
      <c r="B369" s="71"/>
      <c r="C369" s="55" t="s">
        <v>1009</v>
      </c>
      <c r="D369" s="56">
        <v>4298994</v>
      </c>
      <c r="E369" s="57" t="s">
        <v>1008</v>
      </c>
      <c r="F369" s="58" t="s">
        <v>128</v>
      </c>
      <c r="G369" s="56">
        <v>4298994</v>
      </c>
      <c r="H369" s="57" t="s">
        <v>1008</v>
      </c>
      <c r="I369" s="49"/>
      <c r="J369" s="50">
        <f t="shared" si="12"/>
        <v>0</v>
      </c>
      <c r="K369" s="49"/>
      <c r="L369" s="49"/>
      <c r="M369" s="49"/>
    </row>
    <row r="370" spans="2:13" x14ac:dyDescent="0.25">
      <c r="B370" s="71"/>
      <c r="C370" s="55" t="s">
        <v>93</v>
      </c>
      <c r="D370" s="56">
        <v>1167390</v>
      </c>
      <c r="E370" s="57" t="s">
        <v>1008</v>
      </c>
      <c r="F370" s="58" t="s">
        <v>1186</v>
      </c>
      <c r="G370" s="56">
        <v>1167390</v>
      </c>
      <c r="H370" s="57" t="s">
        <v>1008</v>
      </c>
      <c r="I370" s="49"/>
      <c r="J370" s="50">
        <f t="shared" si="12"/>
        <v>0</v>
      </c>
      <c r="K370" s="49"/>
      <c r="L370" s="49"/>
      <c r="M370" s="49"/>
    </row>
    <row r="371" spans="2:13" x14ac:dyDescent="0.25">
      <c r="B371" s="71"/>
      <c r="C371" s="55" t="s">
        <v>114</v>
      </c>
      <c r="D371" s="56">
        <f>8000000-5466384</f>
        <v>2533616</v>
      </c>
      <c r="E371" s="57" t="s">
        <v>1008</v>
      </c>
      <c r="F371" s="58" t="s">
        <v>1187</v>
      </c>
      <c r="G371" s="56">
        <f>8000000-5466384</f>
        <v>2533616</v>
      </c>
      <c r="H371" s="57" t="s">
        <v>1008</v>
      </c>
      <c r="I371" s="49"/>
      <c r="J371" s="50">
        <f t="shared" si="12"/>
        <v>0</v>
      </c>
      <c r="K371" s="49"/>
      <c r="L371" s="49"/>
      <c r="M371" s="49"/>
    </row>
    <row r="372" spans="2:13" x14ac:dyDescent="0.25">
      <c r="B372" s="71"/>
      <c r="C372" s="55" t="s">
        <v>114</v>
      </c>
      <c r="D372" s="56">
        <f>6000000+1100000</f>
        <v>7100000</v>
      </c>
      <c r="E372" s="57" t="s">
        <v>1014</v>
      </c>
      <c r="F372" s="58" t="s">
        <v>114</v>
      </c>
      <c r="G372" s="56">
        <f>6000000+1100000</f>
        <v>7100000</v>
      </c>
      <c r="H372" s="57" t="s">
        <v>1014</v>
      </c>
      <c r="I372" s="49"/>
      <c r="J372" s="50">
        <f t="shared" si="12"/>
        <v>0</v>
      </c>
      <c r="K372" s="49"/>
      <c r="L372" s="49"/>
      <c r="M372" s="49"/>
    </row>
    <row r="373" spans="2:13" x14ac:dyDescent="0.25">
      <c r="B373" s="71"/>
      <c r="C373" s="55" t="s">
        <v>68</v>
      </c>
      <c r="D373" s="56">
        <f>1385682-1164439</f>
        <v>221243</v>
      </c>
      <c r="E373" s="57" t="s">
        <v>1014</v>
      </c>
      <c r="F373" s="58" t="s">
        <v>114</v>
      </c>
      <c r="G373" s="56">
        <f>1385682-1164439</f>
        <v>221243</v>
      </c>
      <c r="H373" s="57" t="s">
        <v>1014</v>
      </c>
      <c r="I373" s="49"/>
      <c r="J373" s="50">
        <f t="shared" si="12"/>
        <v>0</v>
      </c>
      <c r="K373" s="49"/>
      <c r="L373" s="49"/>
      <c r="M373" s="49"/>
    </row>
    <row r="374" spans="2:13" x14ac:dyDescent="0.25">
      <c r="B374" s="71"/>
      <c r="C374" s="55" t="s">
        <v>111</v>
      </c>
      <c r="D374" s="56">
        <v>300000</v>
      </c>
      <c r="E374" s="57" t="s">
        <v>1014</v>
      </c>
      <c r="F374" s="58" t="s">
        <v>68</v>
      </c>
      <c r="G374" s="56">
        <v>300000</v>
      </c>
      <c r="H374" s="57" t="s">
        <v>1014</v>
      </c>
      <c r="I374" s="49"/>
      <c r="J374" s="50">
        <f t="shared" si="12"/>
        <v>0</v>
      </c>
      <c r="K374" s="49"/>
      <c r="L374" s="49"/>
      <c r="M374" s="49"/>
    </row>
    <row r="375" spans="2:13" x14ac:dyDescent="0.25">
      <c r="B375" s="71"/>
      <c r="C375" s="55" t="s">
        <v>1005</v>
      </c>
      <c r="D375" s="56">
        <f>11500000+1164439</f>
        <v>12664439</v>
      </c>
      <c r="E375" s="57" t="s">
        <v>1014</v>
      </c>
      <c r="F375" s="58" t="s">
        <v>111</v>
      </c>
      <c r="G375" s="56">
        <f>11500000+1164439</f>
        <v>12664439</v>
      </c>
      <c r="H375" s="57" t="s">
        <v>1014</v>
      </c>
      <c r="I375" s="49"/>
      <c r="J375" s="50">
        <f t="shared" si="12"/>
        <v>0</v>
      </c>
      <c r="K375" s="49"/>
      <c r="L375" s="49"/>
      <c r="M375" s="49"/>
    </row>
    <row r="376" spans="2:13" x14ac:dyDescent="0.25">
      <c r="B376" s="71"/>
      <c r="C376" s="55" t="s">
        <v>128</v>
      </c>
      <c r="D376" s="56">
        <f>48915783+164220</f>
        <v>49080003</v>
      </c>
      <c r="E376" s="57" t="s">
        <v>1020</v>
      </c>
      <c r="F376" s="58" t="s">
        <v>1005</v>
      </c>
      <c r="G376" s="56">
        <f>48915783+164220</f>
        <v>49080003</v>
      </c>
      <c r="H376" s="57" t="s">
        <v>1020</v>
      </c>
      <c r="I376" s="49"/>
      <c r="J376" s="50">
        <f t="shared" si="12"/>
        <v>0</v>
      </c>
      <c r="K376" s="49"/>
      <c r="L376" s="49"/>
      <c r="M376" s="49"/>
    </row>
    <row r="377" spans="2:13" x14ac:dyDescent="0.25">
      <c r="B377" s="71"/>
      <c r="C377" s="55" t="s">
        <v>111</v>
      </c>
      <c r="D377" s="56">
        <f>164220-164220</f>
        <v>0</v>
      </c>
      <c r="E377" s="57" t="s">
        <v>1020</v>
      </c>
      <c r="F377" s="58" t="s">
        <v>128</v>
      </c>
      <c r="G377" s="56">
        <f>164220-164220</f>
        <v>0</v>
      </c>
      <c r="H377" s="57" t="s">
        <v>1020</v>
      </c>
      <c r="I377" s="49"/>
      <c r="J377" s="50">
        <f t="shared" si="12"/>
        <v>0</v>
      </c>
      <c r="K377" s="49"/>
      <c r="L377" s="49"/>
      <c r="M377" s="49"/>
    </row>
    <row r="378" spans="2:13" x14ac:dyDescent="0.25">
      <c r="B378" s="71"/>
      <c r="C378" s="55" t="s">
        <v>111</v>
      </c>
      <c r="D378" s="56">
        <f>8514632+456237+6191484</f>
        <v>15162353</v>
      </c>
      <c r="E378" s="57" t="s">
        <v>1022</v>
      </c>
      <c r="F378" s="58" t="s">
        <v>111</v>
      </c>
      <c r="G378" s="56">
        <f>8514632+456237+6191484</f>
        <v>15162353</v>
      </c>
      <c r="H378" s="57" t="s">
        <v>1022</v>
      </c>
      <c r="I378" s="49"/>
      <c r="J378" s="50">
        <f t="shared" si="12"/>
        <v>0</v>
      </c>
      <c r="K378" s="49"/>
      <c r="L378" s="49"/>
      <c r="M378" s="49"/>
    </row>
    <row r="379" spans="2:13" x14ac:dyDescent="0.25">
      <c r="B379" s="71"/>
      <c r="C379" s="55" t="s">
        <v>114</v>
      </c>
      <c r="D379" s="56">
        <f>4411543+2844100+3500000</f>
        <v>10755643</v>
      </c>
      <c r="E379" s="57" t="s">
        <v>1022</v>
      </c>
      <c r="F379" s="58" t="s">
        <v>111</v>
      </c>
      <c r="G379" s="56">
        <f>4411543+2844100+3500000</f>
        <v>10755643</v>
      </c>
      <c r="H379" s="57" t="s">
        <v>1022</v>
      </c>
      <c r="I379" s="49"/>
      <c r="J379" s="50">
        <f t="shared" ref="J379:J414" si="13">G379-D379</f>
        <v>0</v>
      </c>
      <c r="K379" s="49"/>
      <c r="L379" s="49"/>
      <c r="M379" s="49"/>
    </row>
    <row r="380" spans="2:13" x14ac:dyDescent="0.25">
      <c r="B380" s="71"/>
      <c r="C380" s="55" t="s">
        <v>126</v>
      </c>
      <c r="D380" s="56">
        <f>5000000-2500000</f>
        <v>2500000</v>
      </c>
      <c r="E380" s="57" t="s">
        <v>1025</v>
      </c>
      <c r="F380" s="58" t="s">
        <v>114</v>
      </c>
      <c r="G380" s="56">
        <f>5000000-2500000</f>
        <v>2500000</v>
      </c>
      <c r="H380" s="57" t="s">
        <v>1025</v>
      </c>
      <c r="I380" s="49"/>
      <c r="J380" s="50">
        <f t="shared" si="13"/>
        <v>0</v>
      </c>
      <c r="K380" s="49"/>
      <c r="L380" s="49"/>
      <c r="M380" s="49"/>
    </row>
    <row r="381" spans="2:13" x14ac:dyDescent="0.25">
      <c r="B381" s="71"/>
      <c r="C381" s="55" t="s">
        <v>123</v>
      </c>
      <c r="D381" s="56">
        <v>3570000</v>
      </c>
      <c r="E381" s="57" t="s">
        <v>1027</v>
      </c>
      <c r="F381" s="58" t="s">
        <v>126</v>
      </c>
      <c r="G381" s="56">
        <v>3570000</v>
      </c>
      <c r="H381" s="57" t="s">
        <v>1027</v>
      </c>
      <c r="I381" s="49"/>
      <c r="J381" s="50">
        <f t="shared" si="13"/>
        <v>0</v>
      </c>
      <c r="K381" s="49"/>
      <c r="L381" s="49"/>
      <c r="M381" s="49"/>
    </row>
    <row r="382" spans="2:13" x14ac:dyDescent="0.25">
      <c r="B382" s="71"/>
      <c r="C382" s="55" t="s">
        <v>123</v>
      </c>
      <c r="D382" s="56">
        <v>10000000</v>
      </c>
      <c r="E382" s="57" t="s">
        <v>1030</v>
      </c>
      <c r="F382" s="58" t="s">
        <v>123</v>
      </c>
      <c r="G382" s="56">
        <v>10000000</v>
      </c>
      <c r="H382" s="57" t="s">
        <v>1030</v>
      </c>
      <c r="I382" s="49"/>
      <c r="J382" s="50">
        <f t="shared" si="13"/>
        <v>0</v>
      </c>
      <c r="K382" s="49"/>
      <c r="L382" s="49"/>
      <c r="M382" s="49"/>
    </row>
    <row r="383" spans="2:13" x14ac:dyDescent="0.25">
      <c r="B383" s="71"/>
      <c r="C383" s="55" t="s">
        <v>126</v>
      </c>
      <c r="D383" s="56">
        <v>1250000</v>
      </c>
      <c r="E383" s="57" t="s">
        <v>143</v>
      </c>
      <c r="F383" s="58" t="s">
        <v>1188</v>
      </c>
      <c r="G383" s="56">
        <v>1250000</v>
      </c>
      <c r="H383" s="57" t="s">
        <v>143</v>
      </c>
      <c r="I383" s="49"/>
      <c r="J383" s="50">
        <f t="shared" si="13"/>
        <v>0</v>
      </c>
      <c r="K383" s="49"/>
      <c r="L383" s="49"/>
      <c r="M383" s="49"/>
    </row>
    <row r="384" spans="2:13" x14ac:dyDescent="0.25">
      <c r="B384" s="71"/>
      <c r="C384" s="55" t="s">
        <v>123</v>
      </c>
      <c r="D384" s="56">
        <v>600000</v>
      </c>
      <c r="E384" s="57" t="s">
        <v>143</v>
      </c>
      <c r="F384" s="58" t="s">
        <v>126</v>
      </c>
      <c r="G384" s="56">
        <v>600000</v>
      </c>
      <c r="H384" s="57" t="s">
        <v>143</v>
      </c>
      <c r="I384" s="49"/>
      <c r="J384" s="50">
        <f t="shared" si="13"/>
        <v>0</v>
      </c>
      <c r="K384" s="49"/>
      <c r="L384" s="49"/>
      <c r="M384" s="49"/>
    </row>
    <row r="385" spans="2:13" x14ac:dyDescent="0.25">
      <c r="B385" s="71"/>
      <c r="C385" s="55" t="s">
        <v>114</v>
      </c>
      <c r="D385" s="56">
        <v>7125720</v>
      </c>
      <c r="E385" s="57" t="s">
        <v>1034</v>
      </c>
      <c r="F385" s="58" t="s">
        <v>1188</v>
      </c>
      <c r="G385" s="56">
        <v>7125720</v>
      </c>
      <c r="H385" s="57" t="s">
        <v>1034</v>
      </c>
      <c r="I385" s="49"/>
      <c r="J385" s="50">
        <f t="shared" si="13"/>
        <v>0</v>
      </c>
      <c r="K385" s="49"/>
      <c r="L385" s="49"/>
      <c r="M385" s="49"/>
    </row>
    <row r="386" spans="2:13" x14ac:dyDescent="0.25">
      <c r="B386" s="71"/>
      <c r="C386" s="55" t="s">
        <v>111</v>
      </c>
      <c r="D386" s="56">
        <v>8353800</v>
      </c>
      <c r="E386" s="57" t="s">
        <v>1036</v>
      </c>
      <c r="F386" s="58" t="s">
        <v>114</v>
      </c>
      <c r="G386" s="56">
        <v>8353800</v>
      </c>
      <c r="H386" s="57" t="s">
        <v>1036</v>
      </c>
      <c r="I386" s="49"/>
      <c r="J386" s="50">
        <f t="shared" si="13"/>
        <v>0</v>
      </c>
      <c r="K386" s="49"/>
      <c r="L386" s="49"/>
      <c r="M386" s="49"/>
    </row>
    <row r="387" spans="2:13" x14ac:dyDescent="0.25">
      <c r="B387" s="71"/>
      <c r="C387" s="55" t="s">
        <v>120</v>
      </c>
      <c r="D387" s="56">
        <v>4760000</v>
      </c>
      <c r="E387" s="57" t="s">
        <v>1039</v>
      </c>
      <c r="F387" s="58" t="s">
        <v>111</v>
      </c>
      <c r="G387" s="56">
        <v>4760000</v>
      </c>
      <c r="H387" s="57" t="s">
        <v>1039</v>
      </c>
      <c r="I387" s="49"/>
      <c r="J387" s="50">
        <f t="shared" si="13"/>
        <v>0</v>
      </c>
      <c r="K387" s="49"/>
      <c r="L387" s="49"/>
      <c r="M387" s="49"/>
    </row>
    <row r="388" spans="2:13" ht="33.75" x14ac:dyDescent="0.25">
      <c r="B388" s="71"/>
      <c r="C388" s="55" t="s">
        <v>120</v>
      </c>
      <c r="D388" s="56">
        <v>50000000</v>
      </c>
      <c r="E388" s="57" t="s">
        <v>238</v>
      </c>
      <c r="F388" s="58" t="s">
        <v>120</v>
      </c>
      <c r="G388" s="56">
        <v>50000000</v>
      </c>
      <c r="H388" s="57" t="s">
        <v>238</v>
      </c>
      <c r="I388" s="49"/>
      <c r="J388" s="50">
        <f t="shared" si="13"/>
        <v>0</v>
      </c>
      <c r="K388" s="49"/>
      <c r="L388" s="49"/>
      <c r="M388" s="49"/>
    </row>
    <row r="389" spans="2:13" x14ac:dyDescent="0.25">
      <c r="B389" s="71"/>
      <c r="C389" s="55" t="s">
        <v>120</v>
      </c>
      <c r="D389" s="56">
        <v>1647574</v>
      </c>
      <c r="E389" s="57" t="s">
        <v>143</v>
      </c>
      <c r="F389" s="58" t="s">
        <v>120</v>
      </c>
      <c r="G389" s="56">
        <v>1647574</v>
      </c>
      <c r="H389" s="57" t="s">
        <v>143</v>
      </c>
      <c r="I389" s="49"/>
      <c r="J389" s="50">
        <f t="shared" si="13"/>
        <v>0</v>
      </c>
      <c r="K389" s="49"/>
      <c r="L389" s="49"/>
      <c r="M389" s="49"/>
    </row>
    <row r="390" spans="2:13" x14ac:dyDescent="0.25">
      <c r="B390" s="71"/>
      <c r="C390" s="55" t="s">
        <v>950</v>
      </c>
      <c r="D390" s="56">
        <v>2767989</v>
      </c>
      <c r="E390" s="57" t="s">
        <v>1043</v>
      </c>
      <c r="F390" s="58" t="s">
        <v>120</v>
      </c>
      <c r="G390" s="56">
        <v>2767989</v>
      </c>
      <c r="H390" s="57" t="s">
        <v>1043</v>
      </c>
      <c r="I390" s="49"/>
      <c r="J390" s="50">
        <f t="shared" si="13"/>
        <v>0</v>
      </c>
      <c r="K390" s="49"/>
      <c r="L390" s="49"/>
      <c r="M390" s="49"/>
    </row>
    <row r="391" spans="2:13" x14ac:dyDescent="0.25">
      <c r="B391" s="71"/>
      <c r="C391" s="55" t="s">
        <v>1045</v>
      </c>
      <c r="D391" s="56">
        <v>4305499</v>
      </c>
      <c r="E391" s="57" t="s">
        <v>1043</v>
      </c>
      <c r="F391" s="58" t="s">
        <v>950</v>
      </c>
      <c r="G391" s="56">
        <v>4305498.54</v>
      </c>
      <c r="H391" s="57" t="s">
        <v>1043</v>
      </c>
      <c r="I391" s="49"/>
      <c r="J391" s="50">
        <f t="shared" si="13"/>
        <v>-0.4599999999627471</v>
      </c>
      <c r="K391" s="49"/>
      <c r="L391" s="49"/>
      <c r="M391" s="49"/>
    </row>
    <row r="392" spans="2:13" x14ac:dyDescent="0.25">
      <c r="B392" s="71"/>
      <c r="C392" s="55" t="s">
        <v>1005</v>
      </c>
      <c r="D392" s="56">
        <v>18955436</v>
      </c>
      <c r="E392" s="57" t="s">
        <v>1043</v>
      </c>
      <c r="F392" s="58" t="s">
        <v>1045</v>
      </c>
      <c r="G392" s="56">
        <v>18955436.219999999</v>
      </c>
      <c r="H392" s="57" t="s">
        <v>1043</v>
      </c>
      <c r="I392" s="49"/>
      <c r="J392" s="50">
        <f t="shared" si="13"/>
        <v>0.2199999988079071</v>
      </c>
      <c r="K392" s="49"/>
      <c r="L392" s="49"/>
      <c r="M392" s="49"/>
    </row>
    <row r="393" spans="2:13" x14ac:dyDescent="0.25">
      <c r="B393" s="71"/>
      <c r="C393" s="55" t="s">
        <v>1048</v>
      </c>
      <c r="D393" s="56">
        <v>7170513</v>
      </c>
      <c r="E393" s="57" t="s">
        <v>1043</v>
      </c>
      <c r="F393" s="58" t="s">
        <v>1005</v>
      </c>
      <c r="G393" s="56">
        <v>7170512.79</v>
      </c>
      <c r="H393" s="57" t="s">
        <v>1043</v>
      </c>
      <c r="I393" s="49"/>
      <c r="J393" s="50">
        <f t="shared" si="13"/>
        <v>-0.2099999999627471</v>
      </c>
      <c r="K393" s="49"/>
      <c r="L393" s="49"/>
      <c r="M393" s="49"/>
    </row>
    <row r="394" spans="2:13" x14ac:dyDescent="0.25">
      <c r="B394" s="71"/>
      <c r="C394" s="55" t="s">
        <v>93</v>
      </c>
      <c r="D394" s="56">
        <v>1559205</v>
      </c>
      <c r="E394" s="57" t="s">
        <v>1043</v>
      </c>
      <c r="F394" s="58" t="s">
        <v>1048</v>
      </c>
      <c r="G394" s="56">
        <v>1559204.6400000001</v>
      </c>
      <c r="H394" s="57" t="s">
        <v>1043</v>
      </c>
      <c r="I394" s="49"/>
      <c r="J394" s="50">
        <f t="shared" si="13"/>
        <v>-0.35999999986961484</v>
      </c>
      <c r="K394" s="49"/>
      <c r="L394" s="49"/>
      <c r="M394" s="49"/>
    </row>
    <row r="395" spans="2:13" x14ac:dyDescent="0.25">
      <c r="B395" s="71"/>
      <c r="C395" s="55" t="s">
        <v>114</v>
      </c>
      <c r="D395" s="56">
        <v>2760709</v>
      </c>
      <c r="E395" s="57" t="s">
        <v>1043</v>
      </c>
      <c r="F395" s="58" t="s">
        <v>93</v>
      </c>
      <c r="G395" s="56">
        <v>2760708.56</v>
      </c>
      <c r="H395" s="57" t="s">
        <v>1043</v>
      </c>
      <c r="I395" s="49"/>
      <c r="J395" s="50">
        <f t="shared" si="13"/>
        <v>-0.43999999994412065</v>
      </c>
      <c r="K395" s="49"/>
      <c r="L395" s="49"/>
      <c r="M395" s="49"/>
    </row>
    <row r="396" spans="2:13" x14ac:dyDescent="0.25">
      <c r="B396" s="71"/>
      <c r="C396" s="55" t="s">
        <v>102</v>
      </c>
      <c r="D396" s="56">
        <v>2998800</v>
      </c>
      <c r="E396" s="57" t="s">
        <v>1051</v>
      </c>
      <c r="F396" s="58" t="s">
        <v>114</v>
      </c>
      <c r="G396" s="56">
        <v>2998800</v>
      </c>
      <c r="H396" s="57" t="s">
        <v>1051</v>
      </c>
      <c r="I396" s="49"/>
      <c r="J396" s="50">
        <f t="shared" si="13"/>
        <v>0</v>
      </c>
      <c r="K396" s="49"/>
      <c r="L396" s="49"/>
      <c r="M396" s="49"/>
    </row>
    <row r="397" spans="2:13" x14ac:dyDescent="0.25">
      <c r="B397" s="71"/>
      <c r="C397" s="55" t="s">
        <v>120</v>
      </c>
      <c r="D397" s="56">
        <v>13163616</v>
      </c>
      <c r="E397" s="57" t="s">
        <v>143</v>
      </c>
      <c r="F397" s="58" t="s">
        <v>102</v>
      </c>
      <c r="G397" s="56">
        <v>13163616</v>
      </c>
      <c r="H397" s="57" t="s">
        <v>143</v>
      </c>
      <c r="I397" s="49"/>
      <c r="J397" s="50">
        <f t="shared" si="13"/>
        <v>0</v>
      </c>
      <c r="K397" s="49"/>
      <c r="L397" s="49"/>
      <c r="M397" s="49"/>
    </row>
    <row r="398" spans="2:13" x14ac:dyDescent="0.25">
      <c r="B398" s="71"/>
      <c r="C398" s="55" t="s">
        <v>120</v>
      </c>
      <c r="D398" s="56">
        <v>10442250</v>
      </c>
      <c r="E398" s="57" t="s">
        <v>245</v>
      </c>
      <c r="F398" s="58" t="s">
        <v>120</v>
      </c>
      <c r="G398" s="56">
        <v>10442250</v>
      </c>
      <c r="H398" s="57" t="s">
        <v>245</v>
      </c>
      <c r="I398" s="49"/>
      <c r="J398" s="50">
        <f t="shared" si="13"/>
        <v>0</v>
      </c>
      <c r="K398" s="49"/>
      <c r="L398" s="49"/>
      <c r="M398" s="49"/>
    </row>
    <row r="399" spans="2:13" x14ac:dyDescent="0.25">
      <c r="B399" s="71"/>
      <c r="C399" s="55" t="s">
        <v>126</v>
      </c>
      <c r="D399" s="56">
        <f>878600+17400</f>
        <v>896000</v>
      </c>
      <c r="E399" s="57" t="s">
        <v>1056</v>
      </c>
      <c r="F399" s="58" t="s">
        <v>120</v>
      </c>
      <c r="G399" s="56">
        <f>878600+17400</f>
        <v>896000</v>
      </c>
      <c r="H399" s="57" t="s">
        <v>1056</v>
      </c>
      <c r="I399" s="49"/>
      <c r="J399" s="50">
        <f t="shared" si="13"/>
        <v>0</v>
      </c>
      <c r="K399" s="49"/>
      <c r="L399" s="49"/>
      <c r="M399" s="49"/>
    </row>
    <row r="400" spans="2:13" x14ac:dyDescent="0.25">
      <c r="B400" s="71"/>
      <c r="C400" s="55" t="s">
        <v>123</v>
      </c>
      <c r="D400" s="56">
        <v>7000000</v>
      </c>
      <c r="E400" s="57" t="s">
        <v>1058</v>
      </c>
      <c r="F400" s="58" t="s">
        <v>126</v>
      </c>
      <c r="G400" s="56">
        <v>7000000</v>
      </c>
      <c r="H400" s="57" t="s">
        <v>1058</v>
      </c>
      <c r="I400" s="49"/>
      <c r="J400" s="50">
        <f t="shared" si="13"/>
        <v>0</v>
      </c>
      <c r="K400" s="49"/>
      <c r="L400" s="49"/>
      <c r="M400" s="49"/>
    </row>
    <row r="401" spans="2:13" x14ac:dyDescent="0.25">
      <c r="B401" s="71"/>
      <c r="C401" s="55" t="s">
        <v>126</v>
      </c>
      <c r="D401" s="56">
        <f>5000000+6000000</f>
        <v>11000000</v>
      </c>
      <c r="E401" s="57" t="s">
        <v>1060</v>
      </c>
      <c r="F401" s="58" t="s">
        <v>123</v>
      </c>
      <c r="G401" s="56">
        <f>5000000+6000000</f>
        <v>11000000</v>
      </c>
      <c r="H401" s="57" t="s">
        <v>1060</v>
      </c>
      <c r="I401" s="49"/>
      <c r="J401" s="50">
        <f t="shared" si="13"/>
        <v>0</v>
      </c>
      <c r="K401" s="49"/>
      <c r="L401" s="49"/>
      <c r="M401" s="49"/>
    </row>
    <row r="402" spans="2:13" x14ac:dyDescent="0.25">
      <c r="B402" s="71"/>
      <c r="C402" s="55" t="s">
        <v>120</v>
      </c>
      <c r="D402" s="56">
        <v>357000000</v>
      </c>
      <c r="E402" s="57" t="s">
        <v>1063</v>
      </c>
      <c r="F402" s="58" t="s">
        <v>120</v>
      </c>
      <c r="G402" s="56">
        <v>357000000</v>
      </c>
      <c r="H402" s="57" t="s">
        <v>1063</v>
      </c>
      <c r="I402" s="49"/>
      <c r="J402" s="50">
        <f t="shared" si="13"/>
        <v>0</v>
      </c>
      <c r="K402" s="49"/>
      <c r="L402" s="49"/>
      <c r="M402" s="49"/>
    </row>
    <row r="403" spans="2:13" x14ac:dyDescent="0.25">
      <c r="B403" s="71"/>
      <c r="C403" s="55" t="s">
        <v>430</v>
      </c>
      <c r="D403" s="56">
        <v>20700000</v>
      </c>
      <c r="E403" s="57" t="s">
        <v>143</v>
      </c>
      <c r="F403" s="58" t="s">
        <v>120</v>
      </c>
      <c r="G403" s="56">
        <v>20700000</v>
      </c>
      <c r="H403" s="57" t="s">
        <v>143</v>
      </c>
      <c r="I403" s="49"/>
      <c r="J403" s="50">
        <f t="shared" si="13"/>
        <v>0</v>
      </c>
      <c r="K403" s="49"/>
      <c r="L403" s="49"/>
      <c r="M403" s="49"/>
    </row>
    <row r="404" spans="2:13" x14ac:dyDescent="0.25">
      <c r="B404" s="71"/>
      <c r="C404" s="55" t="s">
        <v>430</v>
      </c>
      <c r="D404" s="56">
        <v>3500000</v>
      </c>
      <c r="E404" s="57" t="s">
        <v>143</v>
      </c>
      <c r="F404" s="58" t="s">
        <v>430</v>
      </c>
      <c r="G404" s="56">
        <v>3500000</v>
      </c>
      <c r="H404" s="57" t="s">
        <v>143</v>
      </c>
      <c r="I404" s="49"/>
      <c r="J404" s="50">
        <f t="shared" si="13"/>
        <v>0</v>
      </c>
      <c r="K404" s="49"/>
      <c r="L404" s="49"/>
      <c r="M404" s="49"/>
    </row>
    <row r="405" spans="2:13" x14ac:dyDescent="0.25">
      <c r="B405" s="71"/>
      <c r="C405" s="55" t="s">
        <v>102</v>
      </c>
      <c r="D405" s="56">
        <v>6100000</v>
      </c>
      <c r="E405" s="57" t="s">
        <v>1067</v>
      </c>
      <c r="F405" s="58" t="s">
        <v>430</v>
      </c>
      <c r="G405" s="56">
        <v>6100000</v>
      </c>
      <c r="H405" s="57" t="s">
        <v>1067</v>
      </c>
      <c r="I405" s="49"/>
      <c r="J405" s="50">
        <f t="shared" si="13"/>
        <v>0</v>
      </c>
      <c r="K405" s="49"/>
      <c r="L405" s="49"/>
      <c r="M405" s="49"/>
    </row>
    <row r="406" spans="2:13" x14ac:dyDescent="0.25">
      <c r="B406" s="71"/>
      <c r="C406" s="55" t="s">
        <v>96</v>
      </c>
      <c r="D406" s="56">
        <v>1000000</v>
      </c>
      <c r="E406" s="57" t="s">
        <v>1067</v>
      </c>
      <c r="F406" s="58" t="s">
        <v>102</v>
      </c>
      <c r="G406" s="56">
        <v>1000000</v>
      </c>
      <c r="H406" s="57" t="s">
        <v>1067</v>
      </c>
      <c r="I406" s="49"/>
      <c r="J406" s="50">
        <f t="shared" si="13"/>
        <v>0</v>
      </c>
      <c r="K406" s="49"/>
      <c r="L406" s="49"/>
      <c r="M406" s="49"/>
    </row>
    <row r="407" spans="2:13" x14ac:dyDescent="0.25">
      <c r="B407" s="71"/>
      <c r="C407" s="55" t="s">
        <v>128</v>
      </c>
      <c r="D407" s="56">
        <v>1800000</v>
      </c>
      <c r="E407" s="57" t="s">
        <v>1071</v>
      </c>
      <c r="F407" s="58" t="s">
        <v>96</v>
      </c>
      <c r="G407" s="56">
        <v>1800000</v>
      </c>
      <c r="H407" s="57" t="s">
        <v>1071</v>
      </c>
      <c r="I407" s="49"/>
      <c r="J407" s="50">
        <f t="shared" si="13"/>
        <v>0</v>
      </c>
      <c r="K407" s="49"/>
      <c r="L407" s="49"/>
      <c r="M407" s="49"/>
    </row>
    <row r="408" spans="2:13" x14ac:dyDescent="0.25">
      <c r="B408" s="71"/>
      <c r="C408" s="55" t="s">
        <v>123</v>
      </c>
      <c r="D408" s="56">
        <v>1450000</v>
      </c>
      <c r="E408" s="57" t="s">
        <v>1073</v>
      </c>
      <c r="F408" s="58" t="s">
        <v>128</v>
      </c>
      <c r="G408" s="56">
        <v>1450000</v>
      </c>
      <c r="H408" s="57" t="s">
        <v>1073</v>
      </c>
      <c r="I408" s="49"/>
      <c r="J408" s="50">
        <f t="shared" si="13"/>
        <v>0</v>
      </c>
      <c r="K408" s="49"/>
      <c r="L408" s="49"/>
      <c r="M408" s="49"/>
    </row>
    <row r="409" spans="2:13" x14ac:dyDescent="0.25">
      <c r="B409" s="71"/>
      <c r="C409" s="55" t="s">
        <v>123</v>
      </c>
      <c r="D409" s="56">
        <v>4000000</v>
      </c>
      <c r="E409" s="57" t="s">
        <v>1076</v>
      </c>
      <c r="F409" s="58" t="s">
        <v>123</v>
      </c>
      <c r="G409" s="56">
        <v>4000000</v>
      </c>
      <c r="H409" s="57" t="s">
        <v>1076</v>
      </c>
      <c r="I409" s="49"/>
      <c r="J409" s="50">
        <f t="shared" si="13"/>
        <v>0</v>
      </c>
      <c r="K409" s="49"/>
      <c r="L409" s="49"/>
      <c r="M409" s="49"/>
    </row>
    <row r="410" spans="2:13" x14ac:dyDescent="0.25">
      <c r="B410" s="71"/>
      <c r="C410" s="55" t="s">
        <v>725</v>
      </c>
      <c r="D410" s="56">
        <v>1500000</v>
      </c>
      <c r="E410" s="57" t="s">
        <v>1079</v>
      </c>
      <c r="F410" s="58" t="s">
        <v>123</v>
      </c>
      <c r="G410" s="56">
        <v>1500000</v>
      </c>
      <c r="H410" s="57" t="s">
        <v>1079</v>
      </c>
      <c r="I410" s="49"/>
      <c r="J410" s="50">
        <f t="shared" si="13"/>
        <v>0</v>
      </c>
      <c r="K410" s="49"/>
      <c r="L410" s="49"/>
      <c r="M410" s="49"/>
    </row>
    <row r="411" spans="2:13" x14ac:dyDescent="0.25">
      <c r="B411" s="71"/>
      <c r="C411" s="55" t="s">
        <v>111</v>
      </c>
      <c r="D411" s="56">
        <v>8000000</v>
      </c>
      <c r="E411" s="57" t="s">
        <v>1081</v>
      </c>
      <c r="F411" s="58" t="s">
        <v>725</v>
      </c>
      <c r="G411" s="56">
        <v>8000000</v>
      </c>
      <c r="H411" s="57" t="s">
        <v>1081</v>
      </c>
      <c r="I411" s="49"/>
      <c r="J411" s="50">
        <f t="shared" si="13"/>
        <v>0</v>
      </c>
      <c r="K411" s="49"/>
      <c r="L411" s="49"/>
      <c r="M411" s="49"/>
    </row>
    <row r="412" spans="2:13" x14ac:dyDescent="0.25">
      <c r="B412" s="71"/>
      <c r="C412" s="55" t="s">
        <v>111</v>
      </c>
      <c r="D412" s="56">
        <v>4800000</v>
      </c>
      <c r="E412" s="57" t="s">
        <v>1085</v>
      </c>
      <c r="F412" s="58" t="s">
        <v>111</v>
      </c>
      <c r="G412" s="56">
        <v>4800000</v>
      </c>
      <c r="H412" s="57" t="s">
        <v>1085</v>
      </c>
      <c r="I412" s="49"/>
      <c r="J412" s="50">
        <f t="shared" si="13"/>
        <v>0</v>
      </c>
      <c r="K412" s="49"/>
      <c r="L412" s="49"/>
      <c r="M412" s="49"/>
    </row>
    <row r="413" spans="2:13" x14ac:dyDescent="0.25">
      <c r="B413" s="71"/>
      <c r="C413" s="55" t="s">
        <v>123</v>
      </c>
      <c r="D413" s="56">
        <f>169143510+32137267</f>
        <v>201280777</v>
      </c>
      <c r="E413" s="57" t="s">
        <v>1087</v>
      </c>
      <c r="F413" s="58" t="s">
        <v>111</v>
      </c>
      <c r="G413" s="56">
        <f>169143510+32137267</f>
        <v>201280777</v>
      </c>
      <c r="H413" s="57" t="s">
        <v>1087</v>
      </c>
      <c r="I413" s="49"/>
      <c r="J413" s="50">
        <f t="shared" si="13"/>
        <v>0</v>
      </c>
      <c r="K413" s="49"/>
      <c r="L413" s="49"/>
      <c r="M413" s="49"/>
    </row>
    <row r="414" spans="2:13" x14ac:dyDescent="0.25">
      <c r="B414" s="71"/>
      <c r="C414" s="55" t="s">
        <v>123</v>
      </c>
      <c r="D414" s="56">
        <f>174486497+5030000</f>
        <v>179516497</v>
      </c>
      <c r="E414" s="57" t="s">
        <v>1090</v>
      </c>
      <c r="F414" s="58" t="s">
        <v>1188</v>
      </c>
      <c r="G414" s="56">
        <f>174486497+5030000</f>
        <v>179516497</v>
      </c>
      <c r="H414" s="57" t="s">
        <v>1090</v>
      </c>
      <c r="I414" s="49"/>
      <c r="J414" s="50">
        <f t="shared" si="13"/>
        <v>0</v>
      </c>
      <c r="K414" s="49"/>
      <c r="L414" s="49"/>
      <c r="M414" s="49"/>
    </row>
    <row r="415" spans="2:13" s="223" customFormat="1" ht="23.25" x14ac:dyDescent="0.25">
      <c r="B415" s="228" t="s">
        <v>1231</v>
      </c>
      <c r="C415" s="219" t="s">
        <v>430</v>
      </c>
      <c r="D415" s="62">
        <v>48318000</v>
      </c>
      <c r="E415" s="220" t="s">
        <v>143</v>
      </c>
      <c r="F415" s="219" t="s">
        <v>430</v>
      </c>
      <c r="G415" s="229"/>
      <c r="H415" s="220" t="s">
        <v>143</v>
      </c>
      <c r="I415" s="221"/>
      <c r="J415" s="222">
        <f t="shared" ref="J415:J454" si="14">D415-G415</f>
        <v>48318000</v>
      </c>
      <c r="K415" s="221"/>
      <c r="L415" s="221"/>
      <c r="M415" s="221"/>
    </row>
    <row r="416" spans="2:13" x14ac:dyDescent="0.25">
      <c r="B416" s="71"/>
      <c r="C416" s="55" t="s">
        <v>430</v>
      </c>
      <c r="D416" s="56">
        <v>18182000</v>
      </c>
      <c r="E416" s="57" t="s">
        <v>143</v>
      </c>
      <c r="F416" s="55" t="s">
        <v>430</v>
      </c>
      <c r="G416" s="56">
        <v>18182000</v>
      </c>
      <c r="H416" s="57" t="s">
        <v>143</v>
      </c>
      <c r="I416" s="49"/>
      <c r="J416" s="50">
        <f t="shared" si="14"/>
        <v>0</v>
      </c>
      <c r="K416" s="49"/>
      <c r="L416" s="49"/>
      <c r="M416" s="49"/>
    </row>
    <row r="417" spans="2:13" x14ac:dyDescent="0.25">
      <c r="B417" s="71"/>
      <c r="C417" s="55" t="s">
        <v>120</v>
      </c>
      <c r="D417" s="56">
        <v>240000</v>
      </c>
      <c r="E417" s="57" t="s">
        <v>143</v>
      </c>
      <c r="F417" s="58" t="s">
        <v>430</v>
      </c>
      <c r="G417" s="56">
        <v>240000</v>
      </c>
      <c r="H417" s="57" t="s">
        <v>143</v>
      </c>
      <c r="I417" s="49"/>
      <c r="J417" s="50">
        <f t="shared" si="14"/>
        <v>0</v>
      </c>
      <c r="K417" s="49"/>
      <c r="L417" s="49"/>
      <c r="M417" s="49"/>
    </row>
    <row r="418" spans="2:13" x14ac:dyDescent="0.25">
      <c r="B418" s="71"/>
      <c r="C418" s="55" t="s">
        <v>123</v>
      </c>
      <c r="D418" s="56">
        <f>1000000+2500000</f>
        <v>3500000</v>
      </c>
      <c r="E418" s="57" t="s">
        <v>1095</v>
      </c>
      <c r="F418" s="58" t="s">
        <v>120</v>
      </c>
      <c r="G418" s="56">
        <f>1000000+2500000</f>
        <v>3500000</v>
      </c>
      <c r="H418" s="57" t="s">
        <v>1095</v>
      </c>
      <c r="I418" s="49"/>
      <c r="J418" s="50">
        <f t="shared" si="14"/>
        <v>0</v>
      </c>
      <c r="K418" s="49"/>
      <c r="L418" s="49"/>
      <c r="M418" s="49"/>
    </row>
    <row r="419" spans="2:13" x14ac:dyDescent="0.25">
      <c r="B419" s="71"/>
      <c r="C419" s="55" t="s">
        <v>123</v>
      </c>
      <c r="D419" s="56">
        <v>22000000</v>
      </c>
      <c r="E419" s="57" t="s">
        <v>1097</v>
      </c>
      <c r="F419" s="58" t="s">
        <v>123</v>
      </c>
      <c r="G419" s="56">
        <v>22000000</v>
      </c>
      <c r="H419" s="57" t="s">
        <v>1097</v>
      </c>
      <c r="I419" s="49"/>
      <c r="J419" s="50">
        <f t="shared" si="14"/>
        <v>0</v>
      </c>
      <c r="K419" s="49"/>
      <c r="L419" s="49"/>
      <c r="M419" s="49"/>
    </row>
    <row r="420" spans="2:13" x14ac:dyDescent="0.25">
      <c r="B420" s="71"/>
      <c r="C420" s="55" t="s">
        <v>111</v>
      </c>
      <c r="D420" s="56">
        <v>1863540</v>
      </c>
      <c r="E420" s="57" t="s">
        <v>1099</v>
      </c>
      <c r="F420" s="58" t="s">
        <v>123</v>
      </c>
      <c r="G420" s="56">
        <v>1863540</v>
      </c>
      <c r="H420" s="57" t="s">
        <v>1099</v>
      </c>
      <c r="I420" s="49"/>
      <c r="J420" s="50">
        <f t="shared" si="14"/>
        <v>0</v>
      </c>
      <c r="K420" s="49"/>
      <c r="L420" s="49"/>
      <c r="M420" s="49"/>
    </row>
    <row r="421" spans="2:13" x14ac:dyDescent="0.25">
      <c r="B421" s="71"/>
      <c r="C421" s="55" t="s">
        <v>114</v>
      </c>
      <c r="D421" s="56">
        <v>2000390</v>
      </c>
      <c r="E421" s="57" t="s">
        <v>1099</v>
      </c>
      <c r="F421" s="58" t="s">
        <v>111</v>
      </c>
      <c r="G421" s="56">
        <v>2000390</v>
      </c>
      <c r="H421" s="57" t="s">
        <v>1099</v>
      </c>
      <c r="I421" s="49"/>
      <c r="J421" s="50">
        <f t="shared" si="14"/>
        <v>0</v>
      </c>
      <c r="K421" s="49"/>
      <c r="L421" s="49"/>
      <c r="M421" s="49"/>
    </row>
    <row r="422" spans="2:13" x14ac:dyDescent="0.25">
      <c r="B422" s="71"/>
      <c r="C422" s="55" t="s">
        <v>1005</v>
      </c>
      <c r="D422" s="56">
        <v>1130500</v>
      </c>
      <c r="E422" s="57" t="s">
        <v>1099</v>
      </c>
      <c r="F422" s="58" t="s">
        <v>114</v>
      </c>
      <c r="G422" s="56">
        <v>1130500</v>
      </c>
      <c r="H422" s="57" t="s">
        <v>1099</v>
      </c>
      <c r="I422" s="49"/>
      <c r="J422" s="50">
        <f t="shared" si="14"/>
        <v>0</v>
      </c>
      <c r="K422" s="49"/>
      <c r="L422" s="49"/>
      <c r="M422" s="49"/>
    </row>
    <row r="423" spans="2:13" x14ac:dyDescent="0.25">
      <c r="B423" s="71"/>
      <c r="C423" s="55" t="s">
        <v>68</v>
      </c>
      <c r="D423" s="56">
        <v>1739999</v>
      </c>
      <c r="E423" s="57" t="s">
        <v>1101</v>
      </c>
      <c r="F423" s="58" t="s">
        <v>1005</v>
      </c>
      <c r="G423" s="56">
        <v>1739999</v>
      </c>
      <c r="H423" s="57" t="s">
        <v>1101</v>
      </c>
      <c r="I423" s="49"/>
      <c r="J423" s="50">
        <f t="shared" si="14"/>
        <v>0</v>
      </c>
      <c r="K423" s="49"/>
      <c r="L423" s="49"/>
      <c r="M423" s="49"/>
    </row>
    <row r="424" spans="2:13" s="79" customFormat="1" x14ac:dyDescent="0.25">
      <c r="B424" s="83" t="s">
        <v>1211</v>
      </c>
      <c r="C424" s="74" t="s">
        <v>760</v>
      </c>
      <c r="D424" s="75">
        <v>24558000</v>
      </c>
      <c r="E424" s="76" t="s">
        <v>1103</v>
      </c>
      <c r="F424" s="77" t="s">
        <v>68</v>
      </c>
      <c r="G424" s="75">
        <f>40000000+4558000</f>
        <v>44558000</v>
      </c>
      <c r="H424" s="76" t="s">
        <v>1103</v>
      </c>
      <c r="I424" s="73" t="s">
        <v>1155</v>
      </c>
      <c r="J424" s="78">
        <f t="shared" si="14"/>
        <v>-20000000</v>
      </c>
      <c r="K424" s="73"/>
      <c r="L424" s="73"/>
      <c r="M424" s="73"/>
    </row>
    <row r="425" spans="2:13" s="79" customFormat="1" x14ac:dyDescent="0.25">
      <c r="B425" s="83"/>
      <c r="C425" s="74" t="s">
        <v>760</v>
      </c>
      <c r="D425" s="75">
        <v>20000000</v>
      </c>
      <c r="E425" s="76" t="s">
        <v>1103</v>
      </c>
      <c r="F425" s="77" t="s">
        <v>760</v>
      </c>
      <c r="G425" s="92"/>
      <c r="H425" s="76" t="s">
        <v>1103</v>
      </c>
      <c r="I425" s="73"/>
      <c r="J425" s="78">
        <f t="shared" si="14"/>
        <v>20000000</v>
      </c>
      <c r="K425" s="73"/>
      <c r="L425" s="73"/>
      <c r="M425" s="73"/>
    </row>
    <row r="426" spans="2:13" x14ac:dyDescent="0.25">
      <c r="B426" s="71"/>
      <c r="C426" s="55" t="s">
        <v>102</v>
      </c>
      <c r="D426" s="56">
        <f>8025000+691000</f>
        <v>8716000</v>
      </c>
      <c r="E426" s="57" t="s">
        <v>1103</v>
      </c>
      <c r="F426" s="58" t="s">
        <v>102</v>
      </c>
      <c r="G426" s="56">
        <f>8025000+691000</f>
        <v>8716000</v>
      </c>
      <c r="H426" s="57" t="s">
        <v>1103</v>
      </c>
      <c r="I426" s="49"/>
      <c r="J426" s="50">
        <f t="shared" si="14"/>
        <v>0</v>
      </c>
      <c r="K426" s="49"/>
      <c r="L426" s="49"/>
      <c r="M426" s="49"/>
    </row>
    <row r="427" spans="2:13" x14ac:dyDescent="0.25">
      <c r="B427" s="71"/>
      <c r="C427" s="55" t="s">
        <v>114</v>
      </c>
      <c r="D427" s="56">
        <f>149000</f>
        <v>149000</v>
      </c>
      <c r="E427" s="57" t="s">
        <v>1103</v>
      </c>
      <c r="F427" s="58" t="s">
        <v>114</v>
      </c>
      <c r="G427" s="56">
        <f>149000</f>
        <v>149000</v>
      </c>
      <c r="H427" s="57" t="s">
        <v>1103</v>
      </c>
      <c r="I427" s="49"/>
      <c r="J427" s="50">
        <f t="shared" si="14"/>
        <v>0</v>
      </c>
      <c r="K427" s="49"/>
      <c r="L427" s="49"/>
      <c r="M427" s="49"/>
    </row>
    <row r="428" spans="2:13" x14ac:dyDescent="0.25">
      <c r="B428" s="71"/>
      <c r="C428" s="55" t="s">
        <v>117</v>
      </c>
      <c r="D428" s="56">
        <v>9332925</v>
      </c>
      <c r="E428" s="57" t="s">
        <v>1107</v>
      </c>
      <c r="F428" s="58" t="s">
        <v>117</v>
      </c>
      <c r="G428" s="56">
        <v>9332925</v>
      </c>
      <c r="H428" s="57" t="s">
        <v>1107</v>
      </c>
      <c r="I428" s="49"/>
      <c r="J428" s="50">
        <f t="shared" si="14"/>
        <v>0</v>
      </c>
      <c r="K428" s="49"/>
      <c r="L428" s="49"/>
      <c r="M428" s="49"/>
    </row>
    <row r="429" spans="2:13" x14ac:dyDescent="0.25">
      <c r="B429" s="71"/>
      <c r="C429" s="55" t="s">
        <v>123</v>
      </c>
      <c r="D429" s="56">
        <v>23710750</v>
      </c>
      <c r="E429" s="57" t="s">
        <v>1110</v>
      </c>
      <c r="F429" s="58" t="s">
        <v>123</v>
      </c>
      <c r="G429" s="56">
        <v>23710750</v>
      </c>
      <c r="H429" s="57" t="s">
        <v>1110</v>
      </c>
      <c r="I429" s="49"/>
      <c r="J429" s="50">
        <f t="shared" si="14"/>
        <v>0</v>
      </c>
      <c r="K429" s="49"/>
      <c r="L429" s="49"/>
      <c r="M429" s="49"/>
    </row>
    <row r="430" spans="2:13" x14ac:dyDescent="0.25">
      <c r="B430" s="71"/>
      <c r="C430" s="55" t="s">
        <v>111</v>
      </c>
      <c r="D430" s="56">
        <v>8440000</v>
      </c>
      <c r="E430" s="57" t="s">
        <v>1112</v>
      </c>
      <c r="F430" s="58" t="s">
        <v>111</v>
      </c>
      <c r="G430" s="56">
        <v>8440000</v>
      </c>
      <c r="H430" s="57" t="s">
        <v>1112</v>
      </c>
      <c r="I430" s="49"/>
      <c r="J430" s="50">
        <f t="shared" si="14"/>
        <v>0</v>
      </c>
      <c r="K430" s="49"/>
      <c r="L430" s="49"/>
      <c r="M430" s="49"/>
    </row>
    <row r="431" spans="2:13" x14ac:dyDescent="0.25">
      <c r="B431" s="71"/>
      <c r="C431" s="55" t="s">
        <v>68</v>
      </c>
      <c r="D431" s="56">
        <v>10000000</v>
      </c>
      <c r="E431" s="57" t="s">
        <v>1116</v>
      </c>
      <c r="F431" s="58" t="s">
        <v>1189</v>
      </c>
      <c r="G431" s="56">
        <v>10000000</v>
      </c>
      <c r="H431" s="57" t="s">
        <v>1116</v>
      </c>
      <c r="I431" s="49"/>
      <c r="J431" s="50">
        <f t="shared" si="14"/>
        <v>0</v>
      </c>
      <c r="K431" s="49"/>
      <c r="L431" s="49"/>
      <c r="M431" s="49"/>
    </row>
    <row r="432" spans="2:13" x14ac:dyDescent="0.25">
      <c r="B432" s="71"/>
      <c r="C432" s="55" t="s">
        <v>72</v>
      </c>
      <c r="D432" s="56">
        <v>6200000</v>
      </c>
      <c r="E432" s="57" t="s">
        <v>1119</v>
      </c>
      <c r="F432" s="58" t="s">
        <v>72</v>
      </c>
      <c r="G432" s="56">
        <v>6200000</v>
      </c>
      <c r="H432" s="57" t="s">
        <v>1119</v>
      </c>
      <c r="I432" s="49"/>
      <c r="J432" s="50">
        <f t="shared" si="14"/>
        <v>0</v>
      </c>
      <c r="K432" s="49"/>
      <c r="L432" s="49"/>
      <c r="M432" s="49"/>
    </row>
    <row r="433" spans="2:13" x14ac:dyDescent="0.25">
      <c r="B433" s="71"/>
      <c r="C433" s="55" t="s">
        <v>68</v>
      </c>
      <c r="D433" s="56">
        <v>610000</v>
      </c>
      <c r="E433" s="57" t="s">
        <v>1119</v>
      </c>
      <c r="F433" s="58" t="s">
        <v>1189</v>
      </c>
      <c r="G433" s="56">
        <v>610000</v>
      </c>
      <c r="H433" s="57" t="s">
        <v>1119</v>
      </c>
      <c r="I433" s="49"/>
      <c r="J433" s="50">
        <f t="shared" si="14"/>
        <v>0</v>
      </c>
      <c r="K433" s="49"/>
      <c r="L433" s="49"/>
      <c r="M433" s="49"/>
    </row>
    <row r="434" spans="2:13" x14ac:dyDescent="0.25">
      <c r="B434" s="71"/>
      <c r="C434" s="55" t="s">
        <v>114</v>
      </c>
      <c r="D434" s="56">
        <v>250000</v>
      </c>
      <c r="E434" s="57" t="s">
        <v>1119</v>
      </c>
      <c r="F434" s="58" t="s">
        <v>114</v>
      </c>
      <c r="G434" s="56">
        <v>250000</v>
      </c>
      <c r="H434" s="57" t="s">
        <v>1119</v>
      </c>
      <c r="I434" s="49"/>
      <c r="J434" s="50">
        <f t="shared" si="14"/>
        <v>0</v>
      </c>
      <c r="K434" s="49"/>
      <c r="L434" s="49"/>
      <c r="M434" s="49"/>
    </row>
    <row r="435" spans="2:13" x14ac:dyDescent="0.25">
      <c r="B435" s="71"/>
      <c r="C435" s="55" t="s">
        <v>111</v>
      </c>
      <c r="D435" s="56">
        <v>2500000</v>
      </c>
      <c r="E435" s="57" t="s">
        <v>1119</v>
      </c>
      <c r="F435" s="58" t="s">
        <v>111</v>
      </c>
      <c r="G435" s="56">
        <v>2500000</v>
      </c>
      <c r="H435" s="57" t="s">
        <v>1119</v>
      </c>
      <c r="I435" s="49"/>
      <c r="J435" s="50">
        <f t="shared" si="14"/>
        <v>0</v>
      </c>
      <c r="K435" s="49"/>
      <c r="L435" s="49"/>
      <c r="M435" s="49"/>
    </row>
    <row r="436" spans="2:13" x14ac:dyDescent="0.25">
      <c r="B436" s="71"/>
      <c r="C436" s="55" t="s">
        <v>1121</v>
      </c>
      <c r="D436" s="56">
        <v>4500000</v>
      </c>
      <c r="E436" s="57" t="s">
        <v>1119</v>
      </c>
      <c r="F436" s="58" t="s">
        <v>1190</v>
      </c>
      <c r="G436" s="56">
        <v>4500000</v>
      </c>
      <c r="H436" s="57" t="s">
        <v>1119</v>
      </c>
      <c r="I436" s="49"/>
      <c r="J436" s="50">
        <f t="shared" si="14"/>
        <v>0</v>
      </c>
      <c r="K436" s="49"/>
      <c r="L436" s="49"/>
      <c r="M436" s="49"/>
    </row>
    <row r="437" spans="2:13" x14ac:dyDescent="0.25">
      <c r="B437" s="71"/>
      <c r="C437" s="55" t="s">
        <v>1005</v>
      </c>
      <c r="D437" s="56">
        <v>2000000</v>
      </c>
      <c r="E437" s="57" t="s">
        <v>1119</v>
      </c>
      <c r="F437" s="58" t="s">
        <v>1005</v>
      </c>
      <c r="G437" s="56">
        <v>2000000</v>
      </c>
      <c r="H437" s="57" t="s">
        <v>1119</v>
      </c>
      <c r="I437" s="49"/>
      <c r="J437" s="50">
        <f t="shared" si="14"/>
        <v>0</v>
      </c>
      <c r="K437" s="49"/>
      <c r="L437" s="49"/>
      <c r="M437" s="49"/>
    </row>
    <row r="438" spans="2:13" x14ac:dyDescent="0.25">
      <c r="B438" s="71"/>
      <c r="C438" s="55" t="s">
        <v>72</v>
      </c>
      <c r="D438" s="56">
        <v>2700000</v>
      </c>
      <c r="E438" s="57" t="s">
        <v>1124</v>
      </c>
      <c r="F438" s="58" t="s">
        <v>72</v>
      </c>
      <c r="G438" s="56">
        <v>2700000</v>
      </c>
      <c r="H438" s="57" t="s">
        <v>1124</v>
      </c>
      <c r="I438" s="49"/>
      <c r="J438" s="50">
        <f t="shared" si="14"/>
        <v>0</v>
      </c>
      <c r="K438" s="49"/>
      <c r="L438" s="49"/>
      <c r="M438" s="49"/>
    </row>
    <row r="439" spans="2:13" x14ac:dyDescent="0.25">
      <c r="B439" s="71"/>
      <c r="C439" s="55" t="s">
        <v>68</v>
      </c>
      <c r="D439" s="56">
        <v>1600000</v>
      </c>
      <c r="E439" s="57" t="s">
        <v>1124</v>
      </c>
      <c r="F439" s="58" t="s">
        <v>1189</v>
      </c>
      <c r="G439" s="56">
        <v>1600000</v>
      </c>
      <c r="H439" s="57" t="s">
        <v>1124</v>
      </c>
      <c r="I439" s="49"/>
      <c r="J439" s="50">
        <f t="shared" si="14"/>
        <v>0</v>
      </c>
      <c r="K439" s="49"/>
      <c r="L439" s="49"/>
      <c r="M439" s="49"/>
    </row>
    <row r="440" spans="2:13" x14ac:dyDescent="0.25">
      <c r="B440" s="71"/>
      <c r="C440" s="55" t="s">
        <v>114</v>
      </c>
      <c r="D440" s="56">
        <v>1050000</v>
      </c>
      <c r="E440" s="57" t="s">
        <v>1124</v>
      </c>
      <c r="F440" s="58" t="s">
        <v>114</v>
      </c>
      <c r="G440" s="56">
        <v>1050000</v>
      </c>
      <c r="H440" s="57" t="s">
        <v>1124</v>
      </c>
      <c r="I440" s="49"/>
      <c r="J440" s="50">
        <f t="shared" si="14"/>
        <v>0</v>
      </c>
      <c r="K440" s="49"/>
      <c r="L440" s="49"/>
      <c r="M440" s="49"/>
    </row>
    <row r="441" spans="2:13" x14ac:dyDescent="0.25">
      <c r="B441" s="71"/>
      <c r="C441" s="55" t="s">
        <v>111</v>
      </c>
      <c r="D441" s="56">
        <v>3200000</v>
      </c>
      <c r="E441" s="57" t="s">
        <v>1126</v>
      </c>
      <c r="F441" s="58" t="s">
        <v>111</v>
      </c>
      <c r="G441" s="56">
        <v>3200000</v>
      </c>
      <c r="H441" s="57" t="s">
        <v>1126</v>
      </c>
      <c r="I441" s="49"/>
      <c r="J441" s="50">
        <f t="shared" si="14"/>
        <v>0</v>
      </c>
      <c r="K441" s="49"/>
      <c r="L441" s="49"/>
      <c r="M441" s="49"/>
    </row>
    <row r="442" spans="2:13" x14ac:dyDescent="0.25">
      <c r="B442" s="71"/>
      <c r="C442" s="55" t="s">
        <v>111</v>
      </c>
      <c r="D442" s="56">
        <v>8230000</v>
      </c>
      <c r="E442" s="57" t="s">
        <v>1128</v>
      </c>
      <c r="F442" s="58" t="s">
        <v>111</v>
      </c>
      <c r="G442" s="56">
        <v>8230000</v>
      </c>
      <c r="H442" s="57" t="s">
        <v>1128</v>
      </c>
      <c r="I442" s="49"/>
      <c r="J442" s="50">
        <f t="shared" si="14"/>
        <v>0</v>
      </c>
      <c r="K442" s="49"/>
      <c r="L442" s="49"/>
      <c r="M442" s="49"/>
    </row>
    <row r="443" spans="2:13" x14ac:dyDescent="0.25">
      <c r="B443" s="71"/>
      <c r="C443" s="55" t="s">
        <v>114</v>
      </c>
      <c r="D443" s="56">
        <v>2520000</v>
      </c>
      <c r="E443" s="57" t="s">
        <v>1128</v>
      </c>
      <c r="F443" s="58" t="s">
        <v>114</v>
      </c>
      <c r="G443" s="56">
        <v>2520000</v>
      </c>
      <c r="H443" s="57" t="s">
        <v>1128</v>
      </c>
      <c r="I443" s="49"/>
      <c r="J443" s="50">
        <f t="shared" si="14"/>
        <v>0</v>
      </c>
      <c r="K443" s="49"/>
      <c r="L443" s="49"/>
      <c r="M443" s="49"/>
    </row>
    <row r="444" spans="2:13" x14ac:dyDescent="0.25">
      <c r="B444" s="71"/>
      <c r="C444" s="55" t="s">
        <v>725</v>
      </c>
      <c r="D444" s="56">
        <v>10790270</v>
      </c>
      <c r="E444" s="250" t="s">
        <v>1132</v>
      </c>
      <c r="F444" s="58" t="s">
        <v>725</v>
      </c>
      <c r="G444" s="56">
        <v>10790270</v>
      </c>
      <c r="H444" s="57" t="s">
        <v>1132</v>
      </c>
      <c r="I444" s="49"/>
      <c r="J444" s="50">
        <f t="shared" si="14"/>
        <v>0</v>
      </c>
      <c r="K444" s="49"/>
      <c r="L444" s="49"/>
      <c r="M444" s="49"/>
    </row>
    <row r="445" spans="2:13" x14ac:dyDescent="0.25">
      <c r="B445" s="71"/>
      <c r="C445" s="55" t="s">
        <v>128</v>
      </c>
      <c r="D445" s="56">
        <v>3718450</v>
      </c>
      <c r="E445" s="251"/>
      <c r="F445" s="58" t="s">
        <v>128</v>
      </c>
      <c r="G445" s="56">
        <v>3718450</v>
      </c>
      <c r="H445" s="57" t="s">
        <v>1132</v>
      </c>
      <c r="I445" s="49"/>
      <c r="J445" s="50">
        <f t="shared" si="14"/>
        <v>0</v>
      </c>
      <c r="K445" s="49"/>
      <c r="L445" s="49"/>
      <c r="M445" s="49"/>
    </row>
    <row r="446" spans="2:13" x14ac:dyDescent="0.25">
      <c r="B446" s="71"/>
      <c r="C446" s="55" t="s">
        <v>160</v>
      </c>
      <c r="D446" s="56">
        <v>852750</v>
      </c>
      <c r="E446" s="251"/>
      <c r="F446" s="58" t="s">
        <v>160</v>
      </c>
      <c r="G446" s="56">
        <v>852750</v>
      </c>
      <c r="H446" s="57" t="s">
        <v>1132</v>
      </c>
      <c r="I446" s="49"/>
      <c r="J446" s="50">
        <f t="shared" si="14"/>
        <v>0</v>
      </c>
      <c r="K446" s="49"/>
      <c r="L446" s="49"/>
      <c r="M446" s="49"/>
    </row>
    <row r="447" spans="2:13" x14ac:dyDescent="0.25">
      <c r="B447" s="71"/>
      <c r="C447" s="55" t="s">
        <v>760</v>
      </c>
      <c r="D447" s="56">
        <v>1748000</v>
      </c>
      <c r="E447" s="251"/>
      <c r="F447" s="58" t="s">
        <v>760</v>
      </c>
      <c r="G447" s="56">
        <v>1748000</v>
      </c>
      <c r="H447" s="57" t="s">
        <v>1132</v>
      </c>
      <c r="I447" s="49"/>
      <c r="J447" s="50">
        <f t="shared" si="14"/>
        <v>0</v>
      </c>
      <c r="K447" s="49"/>
      <c r="L447" s="49"/>
      <c r="M447" s="49"/>
    </row>
    <row r="448" spans="2:13" x14ac:dyDescent="0.25">
      <c r="B448" s="71"/>
      <c r="C448" s="55" t="s">
        <v>114</v>
      </c>
      <c r="D448" s="56">
        <f>11135000-6319200</f>
        <v>4815800</v>
      </c>
      <c r="E448" s="252"/>
      <c r="F448" s="58" t="s">
        <v>114</v>
      </c>
      <c r="G448" s="56">
        <f>11135000-6319200</f>
        <v>4815800</v>
      </c>
      <c r="H448" s="57" t="s">
        <v>1132</v>
      </c>
      <c r="I448" s="49"/>
      <c r="J448" s="50">
        <f t="shared" si="14"/>
        <v>0</v>
      </c>
      <c r="K448" s="49"/>
      <c r="L448" s="49"/>
      <c r="M448" s="49"/>
    </row>
    <row r="449" spans="2:13" x14ac:dyDescent="0.25">
      <c r="B449" s="71"/>
      <c r="C449" s="55" t="s">
        <v>111</v>
      </c>
      <c r="D449" s="56">
        <v>25472497</v>
      </c>
      <c r="E449" s="57" t="s">
        <v>1136</v>
      </c>
      <c r="F449" s="58" t="s">
        <v>111</v>
      </c>
      <c r="G449" s="56">
        <v>25472497</v>
      </c>
      <c r="H449" s="57" t="s">
        <v>1136</v>
      </c>
      <c r="I449" s="49"/>
      <c r="J449" s="50">
        <f t="shared" si="14"/>
        <v>0</v>
      </c>
      <c r="K449" s="49"/>
      <c r="L449" s="49"/>
      <c r="M449" s="49"/>
    </row>
    <row r="450" spans="2:13" s="79" customFormat="1" x14ac:dyDescent="0.25">
      <c r="B450" s="83" t="s">
        <v>1212</v>
      </c>
      <c r="C450" s="74" t="s">
        <v>123</v>
      </c>
      <c r="D450" s="75">
        <v>50149633</v>
      </c>
      <c r="E450" s="76" t="s">
        <v>1138</v>
      </c>
      <c r="F450" s="77" t="s">
        <v>123</v>
      </c>
      <c r="G450" s="75">
        <v>175148053</v>
      </c>
      <c r="H450" s="76" t="s">
        <v>1138</v>
      </c>
      <c r="I450" s="73"/>
      <c r="J450" s="78">
        <f t="shared" si="14"/>
        <v>-124998420</v>
      </c>
      <c r="K450" s="73"/>
      <c r="L450" s="73"/>
      <c r="M450" s="73"/>
    </row>
    <row r="451" spans="2:13" s="79" customFormat="1" x14ac:dyDescent="0.25">
      <c r="B451" s="83"/>
      <c r="C451" s="74" t="s">
        <v>123</v>
      </c>
      <c r="D451" s="75">
        <v>124998420</v>
      </c>
      <c r="E451" s="76" t="s">
        <v>1138</v>
      </c>
      <c r="F451" s="77" t="s">
        <v>120</v>
      </c>
      <c r="G451" s="92"/>
      <c r="H451" s="93"/>
      <c r="I451" s="73"/>
      <c r="J451" s="78">
        <f t="shared" si="14"/>
        <v>124998420</v>
      </c>
      <c r="K451" s="73"/>
      <c r="L451" s="73"/>
      <c r="M451" s="73"/>
    </row>
    <row r="452" spans="2:13" x14ac:dyDescent="0.25">
      <c r="B452" s="71"/>
      <c r="C452" s="55" t="s">
        <v>120</v>
      </c>
      <c r="D452" s="56">
        <v>115000</v>
      </c>
      <c r="E452" s="57" t="s">
        <v>143</v>
      </c>
      <c r="F452" s="58" t="s">
        <v>78</v>
      </c>
      <c r="G452" s="56">
        <v>115000</v>
      </c>
      <c r="H452" s="57" t="s">
        <v>143</v>
      </c>
      <c r="I452" s="49"/>
      <c r="J452" s="50">
        <f t="shared" si="14"/>
        <v>0</v>
      </c>
      <c r="K452" s="49"/>
      <c r="L452" s="49"/>
      <c r="M452" s="49"/>
    </row>
    <row r="453" spans="2:13" x14ac:dyDescent="0.25">
      <c r="B453" s="71"/>
      <c r="C453" s="55" t="s">
        <v>78</v>
      </c>
      <c r="D453" s="56">
        <v>11267065</v>
      </c>
      <c r="E453" s="57" t="s">
        <v>1141</v>
      </c>
      <c r="F453" s="58" t="s">
        <v>117</v>
      </c>
      <c r="G453" s="56">
        <v>11267065</v>
      </c>
      <c r="H453" s="57" t="s">
        <v>1141</v>
      </c>
      <c r="I453" s="49"/>
      <c r="J453" s="50">
        <f t="shared" si="14"/>
        <v>0</v>
      </c>
      <c r="K453" s="49"/>
      <c r="L453" s="49"/>
      <c r="M453" s="49"/>
    </row>
    <row r="454" spans="2:13" x14ac:dyDescent="0.25">
      <c r="B454" s="71"/>
      <c r="C454" s="55" t="s">
        <v>117</v>
      </c>
      <c r="D454" s="56">
        <v>10000000</v>
      </c>
      <c r="E454" s="57" t="s">
        <v>1143</v>
      </c>
      <c r="F454" s="58" t="s">
        <v>123</v>
      </c>
      <c r="G454" s="56">
        <v>10000000</v>
      </c>
      <c r="H454" s="57" t="s">
        <v>1143</v>
      </c>
      <c r="I454" s="49"/>
      <c r="J454" s="50">
        <f t="shared" si="14"/>
        <v>0</v>
      </c>
      <c r="K454" s="49"/>
      <c r="L454" s="49"/>
      <c r="M454" s="49"/>
    </row>
    <row r="455" spans="2:13" s="223" customFormat="1" ht="23.25" x14ac:dyDescent="0.25">
      <c r="B455" s="228" t="s">
        <v>1230</v>
      </c>
      <c r="C455" s="219" t="s">
        <v>430</v>
      </c>
      <c r="D455" s="62">
        <v>8000000</v>
      </c>
      <c r="E455" s="220" t="s">
        <v>1092</v>
      </c>
      <c r="F455" s="219" t="s">
        <v>430</v>
      </c>
      <c r="G455" s="224"/>
      <c r="H455" s="220" t="s">
        <v>1217</v>
      </c>
      <c r="I455" s="221"/>
      <c r="J455" s="222">
        <f t="shared" ref="J455:J469" si="15">D455-G455</f>
        <v>8000000</v>
      </c>
      <c r="K455" s="221"/>
      <c r="L455" s="221"/>
      <c r="M455" s="221"/>
    </row>
    <row r="456" spans="2:13" s="79" customFormat="1" ht="52.5" x14ac:dyDescent="0.25">
      <c r="B456" s="83"/>
      <c r="C456" s="77" t="s">
        <v>1144</v>
      </c>
      <c r="D456" s="75">
        <v>4400000</v>
      </c>
      <c r="E456" s="113" t="s">
        <v>1195</v>
      </c>
      <c r="F456" s="77" t="s">
        <v>1144</v>
      </c>
      <c r="G456" s="112"/>
      <c r="H456" s="113" t="s">
        <v>1195</v>
      </c>
      <c r="I456" s="73"/>
      <c r="J456" s="78">
        <f t="shared" si="15"/>
        <v>4400000</v>
      </c>
      <c r="K456" s="73"/>
      <c r="L456" s="73"/>
      <c r="M456" s="73"/>
    </row>
    <row r="457" spans="2:13" s="79" customFormat="1" ht="33.75" x14ac:dyDescent="0.25">
      <c r="B457" s="83" t="s">
        <v>1191</v>
      </c>
      <c r="C457" s="77" t="s">
        <v>1145</v>
      </c>
      <c r="D457" s="75">
        <v>356279616</v>
      </c>
      <c r="E457" s="76" t="s">
        <v>153</v>
      </c>
      <c r="F457" s="77" t="s">
        <v>1145</v>
      </c>
      <c r="G457" s="112"/>
      <c r="H457" s="76" t="s">
        <v>153</v>
      </c>
      <c r="I457" s="73"/>
      <c r="J457" s="78">
        <f t="shared" si="15"/>
        <v>356279616</v>
      </c>
      <c r="K457" s="73"/>
      <c r="L457" s="73"/>
      <c r="M457" s="73"/>
    </row>
    <row r="458" spans="2:13" s="79" customFormat="1" x14ac:dyDescent="0.25">
      <c r="B458" s="83" t="s">
        <v>1192</v>
      </c>
      <c r="C458" s="77" t="s">
        <v>120</v>
      </c>
      <c r="D458" s="75">
        <v>238927474</v>
      </c>
      <c r="E458" s="76" t="s">
        <v>1193</v>
      </c>
      <c r="F458" s="77" t="s">
        <v>120</v>
      </c>
      <c r="G458" s="112"/>
      <c r="H458" s="76" t="s">
        <v>1193</v>
      </c>
      <c r="I458" s="73"/>
      <c r="J458" s="78">
        <f t="shared" si="15"/>
        <v>238927474</v>
      </c>
      <c r="K458" s="73"/>
      <c r="L458" s="73"/>
      <c r="M458" s="73"/>
    </row>
    <row r="459" spans="2:13" s="126" customFormat="1" x14ac:dyDescent="0.25">
      <c r="B459" s="127" t="s">
        <v>1194</v>
      </c>
      <c r="C459" s="120" t="s">
        <v>123</v>
      </c>
      <c r="D459" s="121">
        <v>64749509</v>
      </c>
      <c r="E459" s="122"/>
      <c r="F459" s="120" t="s">
        <v>123</v>
      </c>
      <c r="G459" s="123"/>
      <c r="H459" s="122"/>
      <c r="I459" s="124"/>
      <c r="J459" s="125">
        <f t="shared" si="15"/>
        <v>64749509</v>
      </c>
      <c r="K459" s="124"/>
      <c r="L459" s="124"/>
      <c r="M459" s="124"/>
    </row>
    <row r="460" spans="2:13" s="79" customFormat="1" ht="57" x14ac:dyDescent="0.25">
      <c r="B460" s="90" t="s">
        <v>1216</v>
      </c>
      <c r="C460" s="77" t="s">
        <v>382</v>
      </c>
      <c r="D460" s="75">
        <v>31579.74</v>
      </c>
      <c r="E460" s="76" t="s">
        <v>372</v>
      </c>
      <c r="F460" s="77" t="s">
        <v>382</v>
      </c>
      <c r="G460" s="112"/>
      <c r="H460" s="76" t="s">
        <v>372</v>
      </c>
      <c r="I460" s="73"/>
      <c r="J460" s="78">
        <f t="shared" si="15"/>
        <v>31579.74</v>
      </c>
      <c r="K460" s="73"/>
      <c r="L460" s="73"/>
      <c r="M460" s="73"/>
    </row>
    <row r="461" spans="2:13" s="79" customFormat="1" ht="52.5" x14ac:dyDescent="0.25">
      <c r="B461" s="83"/>
      <c r="C461" s="77" t="s">
        <v>1144</v>
      </c>
      <c r="D461" s="75">
        <v>1568718</v>
      </c>
      <c r="E461" s="113" t="s">
        <v>1195</v>
      </c>
      <c r="F461" s="77" t="s">
        <v>1144</v>
      </c>
      <c r="G461" s="112"/>
      <c r="H461" s="113" t="s">
        <v>1195</v>
      </c>
      <c r="I461" s="80" t="s">
        <v>1155</v>
      </c>
      <c r="J461" s="78">
        <f t="shared" si="15"/>
        <v>1568718</v>
      </c>
      <c r="K461" s="73"/>
      <c r="L461" s="73"/>
      <c r="M461" s="73"/>
    </row>
    <row r="462" spans="2:13" s="79" customFormat="1" ht="52.5" x14ac:dyDescent="0.25">
      <c r="B462" s="90" t="s">
        <v>1213</v>
      </c>
      <c r="C462" s="77" t="s">
        <v>1144</v>
      </c>
      <c r="D462" s="75">
        <v>1996234</v>
      </c>
      <c r="E462" s="113" t="s">
        <v>1195</v>
      </c>
      <c r="F462" s="77" t="s">
        <v>1144</v>
      </c>
      <c r="G462" s="112"/>
      <c r="H462" s="76"/>
      <c r="I462" s="80" t="s">
        <v>1155</v>
      </c>
      <c r="J462" s="78">
        <f t="shared" si="15"/>
        <v>1996234</v>
      </c>
      <c r="K462" s="73"/>
      <c r="L462" s="73"/>
      <c r="M462" s="73"/>
    </row>
    <row r="463" spans="2:13" s="79" customFormat="1" x14ac:dyDescent="0.25">
      <c r="B463" s="83" t="s">
        <v>1192</v>
      </c>
      <c r="C463" s="77" t="s">
        <v>120</v>
      </c>
      <c r="D463" s="75">
        <v>472313539</v>
      </c>
      <c r="E463" s="76" t="s">
        <v>1193</v>
      </c>
      <c r="F463" s="77" t="s">
        <v>120</v>
      </c>
      <c r="G463" s="112"/>
      <c r="H463" s="76" t="s">
        <v>1193</v>
      </c>
      <c r="I463" s="73"/>
      <c r="J463" s="78">
        <f t="shared" si="15"/>
        <v>472313539</v>
      </c>
      <c r="K463" s="73"/>
      <c r="L463" s="73"/>
      <c r="M463" s="73"/>
    </row>
    <row r="464" spans="2:13" s="47" customFormat="1" x14ac:dyDescent="0.25">
      <c r="B464" s="114" t="s">
        <v>1196</v>
      </c>
      <c r="C464" s="69" t="s">
        <v>126</v>
      </c>
      <c r="D464" s="67">
        <v>5000000</v>
      </c>
      <c r="E464" s="68"/>
      <c r="F464" s="69" t="s">
        <v>126</v>
      </c>
      <c r="G464" s="118"/>
      <c r="H464" s="68"/>
      <c r="I464" s="70"/>
      <c r="J464" s="82">
        <f t="shared" si="15"/>
        <v>5000000</v>
      </c>
      <c r="K464" s="70"/>
      <c r="L464" s="70"/>
      <c r="M464" s="70"/>
    </row>
    <row r="465" spans="2:13" s="126" customFormat="1" x14ac:dyDescent="0.25">
      <c r="B465" s="119" t="s">
        <v>1201</v>
      </c>
      <c r="C465" s="120" t="s">
        <v>117</v>
      </c>
      <c r="D465" s="121">
        <v>5600000</v>
      </c>
      <c r="E465" s="122" t="s">
        <v>639</v>
      </c>
      <c r="F465" s="120" t="s">
        <v>117</v>
      </c>
      <c r="G465" s="123"/>
      <c r="H465" s="122" t="s">
        <v>639</v>
      </c>
      <c r="I465" s="124"/>
      <c r="J465" s="125">
        <f t="shared" si="15"/>
        <v>5600000</v>
      </c>
      <c r="K465" s="124"/>
      <c r="L465" s="124"/>
      <c r="M465" s="124"/>
    </row>
    <row r="466" spans="2:13" s="79" customFormat="1" x14ac:dyDescent="0.25">
      <c r="B466" s="90" t="s">
        <v>1197</v>
      </c>
      <c r="C466" s="77" t="s">
        <v>120</v>
      </c>
      <c r="D466" s="75">
        <v>9130000</v>
      </c>
      <c r="E466" s="76" t="s">
        <v>70</v>
      </c>
      <c r="F466" s="77" t="s">
        <v>120</v>
      </c>
      <c r="G466" s="77"/>
      <c r="H466" s="76" t="s">
        <v>70</v>
      </c>
      <c r="I466" s="73"/>
      <c r="J466" s="78">
        <f t="shared" si="15"/>
        <v>9130000</v>
      </c>
      <c r="K466" s="73"/>
      <c r="L466" s="73"/>
      <c r="M466" s="73"/>
    </row>
    <row r="467" spans="2:13" s="126" customFormat="1" x14ac:dyDescent="0.25">
      <c r="B467" s="119" t="s">
        <v>1194</v>
      </c>
      <c r="C467" s="120" t="s">
        <v>68</v>
      </c>
      <c r="D467" s="121">
        <v>1390269</v>
      </c>
      <c r="E467" s="122" t="s">
        <v>639</v>
      </c>
      <c r="F467" s="120" t="s">
        <v>68</v>
      </c>
      <c r="G467" s="123"/>
      <c r="H467" s="122" t="s">
        <v>639</v>
      </c>
      <c r="I467" s="124"/>
      <c r="J467" s="125">
        <f t="shared" si="15"/>
        <v>1390269</v>
      </c>
      <c r="K467" s="124"/>
      <c r="L467" s="124"/>
      <c r="M467" s="124"/>
    </row>
    <row r="468" spans="2:13" x14ac:dyDescent="0.25">
      <c r="B468" s="71"/>
      <c r="C468" s="55" t="s">
        <v>123</v>
      </c>
      <c r="D468" s="56">
        <v>10000000</v>
      </c>
      <c r="E468" s="57" t="s">
        <v>1150</v>
      </c>
      <c r="F468" s="58" t="s">
        <v>123</v>
      </c>
      <c r="G468" s="56">
        <v>10000000</v>
      </c>
      <c r="H468" s="57" t="s">
        <v>1150</v>
      </c>
      <c r="I468" s="49"/>
      <c r="J468" s="50">
        <f t="shared" si="15"/>
        <v>0</v>
      </c>
      <c r="K468" s="49"/>
      <c r="L468" s="49"/>
      <c r="M468" s="49"/>
    </row>
    <row r="469" spans="2:13" x14ac:dyDescent="0.25">
      <c r="B469" s="71"/>
      <c r="C469" s="55" t="s">
        <v>123</v>
      </c>
      <c r="D469" s="56">
        <v>126000000</v>
      </c>
      <c r="E469" s="57" t="s">
        <v>1152</v>
      </c>
      <c r="F469" s="58" t="s">
        <v>123</v>
      </c>
      <c r="G469" s="56">
        <v>126000000</v>
      </c>
      <c r="H469" s="57" t="s">
        <v>1152</v>
      </c>
      <c r="I469" s="49"/>
      <c r="J469" s="50">
        <f t="shared" si="15"/>
        <v>0</v>
      </c>
      <c r="K469" s="49"/>
      <c r="L469" s="49"/>
      <c r="M469" s="49"/>
    </row>
    <row r="470" spans="2:13" x14ac:dyDescent="0.25">
      <c r="B470" s="71"/>
      <c r="C470" s="65"/>
      <c r="D470" s="65"/>
      <c r="E470" s="65"/>
      <c r="F470" s="71"/>
      <c r="G470" s="72"/>
      <c r="H470" s="65"/>
      <c r="I470" s="49"/>
      <c r="J470" s="50"/>
      <c r="K470" s="49"/>
      <c r="L470" s="49"/>
      <c r="M470" s="49"/>
    </row>
    <row r="475" spans="2:13" x14ac:dyDescent="0.25">
      <c r="D475" s="45"/>
    </row>
  </sheetData>
  <autoFilter ref="C2:H469" xr:uid="{00000000-0009-0000-0000-000001000000}"/>
  <mergeCells count="7">
    <mergeCell ref="G74:G75"/>
    <mergeCell ref="E444:E448"/>
    <mergeCell ref="C1:E1"/>
    <mergeCell ref="F1:H1"/>
    <mergeCell ref="B224:B225"/>
    <mergeCell ref="B228:B229"/>
    <mergeCell ref="B302:B30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9"/>
  <sheetViews>
    <sheetView topLeftCell="A4" workbookViewId="0">
      <selection activeCell="B13" sqref="B13"/>
    </sheetView>
  </sheetViews>
  <sheetFormatPr baseColWidth="10" defaultRowHeight="15" x14ac:dyDescent="0.25"/>
  <cols>
    <col min="2" max="2" width="38.85546875" style="48" customWidth="1"/>
    <col min="3" max="3" width="21.28515625" customWidth="1"/>
    <col min="4" max="4" width="19.5703125" customWidth="1"/>
    <col min="6" max="6" width="22.140625" style="48" customWidth="1"/>
    <col min="7" max="7" width="12.140625" bestFit="1" customWidth="1"/>
    <col min="8" max="8" width="11.42578125" style="48"/>
    <col min="10" max="10" width="11.5703125" bestFit="1" customWidth="1"/>
    <col min="11" max="11" width="13.42578125" bestFit="1" customWidth="1"/>
    <col min="12" max="12" width="11.5703125" bestFit="1" customWidth="1"/>
  </cols>
  <sheetData>
    <row r="1" spans="2:13" ht="15.75" thickBot="1" x14ac:dyDescent="0.3">
      <c r="C1" s="253" t="s">
        <v>1199</v>
      </c>
      <c r="D1" s="253"/>
      <c r="E1" s="253"/>
      <c r="F1" s="253" t="s">
        <v>1200</v>
      </c>
      <c r="G1" s="253"/>
      <c r="H1" s="253"/>
    </row>
    <row r="2" spans="2:13" ht="23.25" thickBot="1" x14ac:dyDescent="0.3">
      <c r="B2" s="71"/>
      <c r="C2" s="51" t="s">
        <v>1198</v>
      </c>
      <c r="D2" s="51" t="s">
        <v>14</v>
      </c>
      <c r="E2" s="52" t="s">
        <v>17</v>
      </c>
      <c r="F2" s="51" t="s">
        <v>1198</v>
      </c>
      <c r="G2" s="53" t="s">
        <v>14</v>
      </c>
      <c r="H2" s="54" t="s">
        <v>17</v>
      </c>
      <c r="I2" s="49"/>
      <c r="J2" s="49"/>
      <c r="K2" s="49"/>
      <c r="L2" s="49"/>
      <c r="M2" s="49"/>
    </row>
    <row r="3" spans="2:13" s="223" customFormat="1" x14ac:dyDescent="0.25">
      <c r="B3" s="218" t="s">
        <v>1234</v>
      </c>
      <c r="C3" s="219" t="s">
        <v>430</v>
      </c>
      <c r="D3" s="62">
        <f>18000000+50000000+10000000-(20700000+3500000)-53800000</f>
        <v>0</v>
      </c>
      <c r="E3" s="220" t="s">
        <v>143</v>
      </c>
      <c r="F3" s="219" t="s">
        <v>430</v>
      </c>
      <c r="G3" s="62">
        <f>18000000+50000000+10000000-(20700000+3500000)</f>
        <v>53800000</v>
      </c>
      <c r="H3" s="220" t="s">
        <v>143</v>
      </c>
      <c r="I3" s="221"/>
      <c r="J3" s="222">
        <f>G3-D3</f>
        <v>53800000</v>
      </c>
      <c r="K3" s="221"/>
      <c r="L3" s="221"/>
      <c r="M3" s="221"/>
    </row>
    <row r="4" spans="2:13" s="47" customFormat="1" x14ac:dyDescent="0.25">
      <c r="B4" s="255" t="s">
        <v>1235</v>
      </c>
      <c r="C4" s="66" t="s">
        <v>126</v>
      </c>
      <c r="D4" s="67">
        <v>2500000</v>
      </c>
      <c r="E4" s="68" t="s">
        <v>562</v>
      </c>
      <c r="F4" s="69" t="s">
        <v>126</v>
      </c>
      <c r="G4" s="67">
        <f>5000000-5000000</f>
        <v>0</v>
      </c>
      <c r="H4" s="68" t="s">
        <v>562</v>
      </c>
      <c r="I4" s="70"/>
      <c r="J4" s="82">
        <f>G4-D4</f>
        <v>-2500000</v>
      </c>
      <c r="K4" s="70"/>
      <c r="L4" s="70" t="s">
        <v>294</v>
      </c>
      <c r="M4" s="70"/>
    </row>
    <row r="5" spans="2:13" s="47" customFormat="1" x14ac:dyDescent="0.25">
      <c r="B5" s="255"/>
      <c r="C5" s="66" t="s">
        <v>123</v>
      </c>
      <c r="D5" s="67">
        <f>2000000-2000000</f>
        <v>0</v>
      </c>
      <c r="E5" s="68" t="s">
        <v>562</v>
      </c>
      <c r="F5" s="69" t="s">
        <v>123</v>
      </c>
      <c r="G5" s="67">
        <v>2000000</v>
      </c>
      <c r="H5" s="68" t="s">
        <v>562</v>
      </c>
      <c r="I5" s="70"/>
      <c r="J5" s="82">
        <f>G5-D5</f>
        <v>2000000</v>
      </c>
      <c r="K5" s="70"/>
      <c r="L5" s="70"/>
      <c r="M5" s="70"/>
    </row>
    <row r="6" spans="2:13" s="227" customFormat="1" ht="63" customHeight="1" x14ac:dyDescent="0.25">
      <c r="B6" s="230" t="s">
        <v>1205</v>
      </c>
      <c r="C6" s="231" t="s">
        <v>814</v>
      </c>
      <c r="D6" s="232">
        <v>17528000</v>
      </c>
      <c r="E6" s="233"/>
      <c r="F6" s="63" t="s">
        <v>814</v>
      </c>
      <c r="G6" s="63"/>
      <c r="H6" s="234"/>
      <c r="I6" s="225"/>
      <c r="J6" s="226"/>
      <c r="K6" s="235">
        <v>1630</v>
      </c>
      <c r="L6" s="225"/>
      <c r="M6" s="225"/>
    </row>
    <row r="7" spans="2:13" s="47" customFormat="1" x14ac:dyDescent="0.25">
      <c r="B7" s="114" t="s">
        <v>1235</v>
      </c>
      <c r="C7" s="66" t="s">
        <v>123</v>
      </c>
      <c r="D7" s="67">
        <v>6100000</v>
      </c>
      <c r="E7" s="68" t="s">
        <v>910</v>
      </c>
      <c r="F7" s="69" t="s">
        <v>117</v>
      </c>
      <c r="G7" s="67">
        <v>4100000</v>
      </c>
      <c r="H7" s="68" t="s">
        <v>910</v>
      </c>
      <c r="I7" s="70"/>
      <c r="J7" s="82">
        <f>G7-D7</f>
        <v>-2000000</v>
      </c>
      <c r="K7" s="70"/>
      <c r="L7" s="70"/>
      <c r="M7" s="70"/>
    </row>
    <row r="8" spans="2:13" s="223" customFormat="1" x14ac:dyDescent="0.25">
      <c r="B8" s="218" t="s">
        <v>1230</v>
      </c>
      <c r="C8" s="219" t="s">
        <v>430</v>
      </c>
      <c r="D8" s="62">
        <v>48318000</v>
      </c>
      <c r="E8" s="220" t="s">
        <v>143</v>
      </c>
      <c r="F8" s="219" t="s">
        <v>430</v>
      </c>
      <c r="G8" s="229"/>
      <c r="H8" s="220" t="s">
        <v>143</v>
      </c>
      <c r="I8" s="221"/>
      <c r="J8" s="222">
        <f>D8-G8</f>
        <v>48318000</v>
      </c>
      <c r="K8" s="221"/>
      <c r="L8" s="221"/>
      <c r="M8" s="221"/>
    </row>
    <row r="9" spans="2:13" s="223" customFormat="1" ht="22.5" x14ac:dyDescent="0.25">
      <c r="B9" s="218" t="s">
        <v>1230</v>
      </c>
      <c r="C9" s="219" t="s">
        <v>430</v>
      </c>
      <c r="D9" s="62">
        <v>8000000</v>
      </c>
      <c r="E9" s="220" t="s">
        <v>1092</v>
      </c>
      <c r="F9" s="219" t="s">
        <v>430</v>
      </c>
      <c r="G9" s="224"/>
      <c r="H9" s="220" t="s">
        <v>1217</v>
      </c>
      <c r="I9" s="221"/>
      <c r="J9" s="222">
        <f t="shared" ref="J9:J13" si="0">D9-G9</f>
        <v>8000000</v>
      </c>
      <c r="K9" s="221"/>
      <c r="L9" s="221"/>
      <c r="M9" s="221"/>
    </row>
    <row r="10" spans="2:13" s="227" customFormat="1" x14ac:dyDescent="0.25">
      <c r="B10" s="236" t="s">
        <v>1194</v>
      </c>
      <c r="C10" s="63" t="s">
        <v>123</v>
      </c>
      <c r="D10" s="62">
        <v>64749509</v>
      </c>
      <c r="E10" s="220"/>
      <c r="F10" s="63" t="s">
        <v>123</v>
      </c>
      <c r="G10" s="224"/>
      <c r="H10" s="220"/>
      <c r="I10" s="225"/>
      <c r="J10" s="226">
        <f t="shared" si="0"/>
        <v>64749509</v>
      </c>
      <c r="K10" s="225"/>
      <c r="L10" s="225"/>
      <c r="M10" s="225"/>
    </row>
    <row r="11" spans="2:13" s="47" customFormat="1" x14ac:dyDescent="0.25">
      <c r="B11" s="114" t="s">
        <v>1235</v>
      </c>
      <c r="C11" s="69" t="s">
        <v>126</v>
      </c>
      <c r="D11" s="67">
        <v>5000000</v>
      </c>
      <c r="E11" s="68"/>
      <c r="F11" s="69" t="s">
        <v>126</v>
      </c>
      <c r="G11" s="118"/>
      <c r="H11" s="68"/>
      <c r="I11" s="70"/>
      <c r="J11" s="82">
        <f t="shared" si="0"/>
        <v>5000000</v>
      </c>
      <c r="K11" s="70" t="s">
        <v>1210</v>
      </c>
      <c r="L11" s="70"/>
      <c r="M11" s="70"/>
    </row>
    <row r="12" spans="2:13" s="227" customFormat="1" ht="57" x14ac:dyDescent="0.25">
      <c r="B12" s="230" t="s">
        <v>1233</v>
      </c>
      <c r="C12" s="63" t="s">
        <v>117</v>
      </c>
      <c r="D12" s="62">
        <v>5600000</v>
      </c>
      <c r="E12" s="220" t="s">
        <v>639</v>
      </c>
      <c r="F12" s="63" t="s">
        <v>117</v>
      </c>
      <c r="G12" s="224"/>
      <c r="H12" s="220" t="s">
        <v>639</v>
      </c>
      <c r="I12" s="225"/>
      <c r="J12" s="226">
        <f t="shared" si="0"/>
        <v>5600000</v>
      </c>
      <c r="K12" s="225"/>
      <c r="L12" s="225"/>
      <c r="M12" s="225"/>
    </row>
    <row r="13" spans="2:13" s="227" customFormat="1" ht="79.5" x14ac:dyDescent="0.25">
      <c r="B13" s="230" t="s">
        <v>1232</v>
      </c>
      <c r="C13" s="63" t="s">
        <v>68</v>
      </c>
      <c r="D13" s="62">
        <v>1390269</v>
      </c>
      <c r="E13" s="220" t="s">
        <v>639</v>
      </c>
      <c r="F13" s="63" t="s">
        <v>68</v>
      </c>
      <c r="G13" s="224"/>
      <c r="H13" s="220" t="s">
        <v>639</v>
      </c>
      <c r="I13" s="225"/>
      <c r="J13" s="226">
        <f t="shared" si="0"/>
        <v>1390269</v>
      </c>
      <c r="K13" s="225"/>
      <c r="L13" s="225"/>
      <c r="M13" s="225"/>
    </row>
    <row r="14" spans="2:13" x14ac:dyDescent="0.25">
      <c r="B14" s="71"/>
      <c r="C14" s="65"/>
      <c r="D14" s="65"/>
      <c r="E14" s="65"/>
      <c r="F14" s="71"/>
      <c r="G14" s="72"/>
      <c r="H14" s="65"/>
      <c r="I14" s="49"/>
      <c r="J14" s="50"/>
      <c r="K14" s="49"/>
      <c r="L14" s="49"/>
      <c r="M14" s="49"/>
    </row>
    <row r="19" spans="4:4" x14ac:dyDescent="0.25">
      <c r="D19" s="45"/>
    </row>
  </sheetData>
  <mergeCells count="3">
    <mergeCell ref="C1:E1"/>
    <mergeCell ref="F1:H1"/>
    <mergeCell ref="B4:B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 V39- 2024</vt:lpstr>
      <vt:lpstr>verificación apropiación</vt:lpstr>
      <vt:lpstr>Hoja3</vt:lpstr>
      <vt:lpstr>'PAA V39- 2024'!Área_de_impresión</vt:lpstr>
      <vt:lpstr>'PAA V39- 2024'!Títulos_a_imprimir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GLENDA JULIANA HINCAPIE AGUDELO</dc:creator>
  <cp:lastModifiedBy>JOHAN SEBASTIAN VILLAMIZAR MORENO</cp:lastModifiedBy>
  <cp:lastPrinted>2024-11-25T15:02:13Z</cp:lastPrinted>
  <dcterms:created xsi:type="dcterms:W3CDTF">2024-11-15T14:32:00Z</dcterms:created>
  <dcterms:modified xsi:type="dcterms:W3CDTF">2024-12-03T19:13:41Z</dcterms:modified>
</cp:coreProperties>
</file>